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21" windowWidth="17130" windowHeight="13020" activeTab="4"/>
  </bookViews>
  <sheets>
    <sheet name="РП" sheetId="1" r:id="rId1"/>
    <sheet name="пояснит РП" sheetId="2" r:id="rId2"/>
    <sheet name="ведомственная" sheetId="3" r:id="rId3"/>
    <sheet name="Пояснит.вед" sheetId="4" r:id="rId4"/>
    <sheet name="программы" sheetId="5" r:id="rId5"/>
    <sheet name="Пояснит.прогр." sheetId="6" r:id="rId6"/>
  </sheets>
  <definedNames>
    <definedName name="_xlnm._FilterDatabase" localSheetId="2" hidden="1">'ведомственная'!$A$16:$G$926</definedName>
    <definedName name="_xlnm._FilterDatabase" localSheetId="3" hidden="1">'Пояснит.вед'!$A$6:$X$960</definedName>
    <definedName name="_xlnm._FilterDatabase" localSheetId="5" hidden="1">'Пояснит.прогр.'!$A$4:$I$772</definedName>
    <definedName name="_xlnm._FilterDatabase" localSheetId="4" hidden="1">'программы'!$A$14:$D$752</definedName>
    <definedName name="Z_01BC8EC9_D926_4CD5_BB57_626227D6EF06_.wvu.FilterData" localSheetId="2" hidden="1">'ведомственная'!$E$15:$E$16</definedName>
    <definedName name="Z_04993339_5E37_4914_858F_AD9FAF76B3C3_.wvu.FilterData" localSheetId="2" hidden="1">'ведомственная'!$E$15:$E$16</definedName>
    <definedName name="Z_067F6ADF_79F5_4690_B004_EB533833A7C8_.wvu.FilterData" localSheetId="2" hidden="1">'ведомственная'!$F$15:$F$16</definedName>
    <definedName name="Z_26F88C38_A5A9_4DC8_964F_9A691A4C38C1_.wvu.FilterData" localSheetId="2" hidden="1">'ведомственная'!$E$15:$E$16</definedName>
    <definedName name="Z_290A2DA1_DB58_455A_BE2A_E78A01F4E074_.wvu.FilterData" localSheetId="2" hidden="1">'ведомственная'!$E$15:$E$16</definedName>
    <definedName name="Z_2B391156_FB2A_4680_B6DB_A43F8449B473_.wvu.FilterData" localSheetId="2" hidden="1">'ведомственная'!$E$15:$E$16</definedName>
    <definedName name="Z_347AE766_9F12_4D25_8BDF_36BE6517CFDA_.wvu.FilterData" localSheetId="2" hidden="1">'ведомственная'!$F$15:$F$16</definedName>
    <definedName name="Z_363B3729_E230_4697_93BD_9CE75AD564A4_.wvu.FilterData" localSheetId="2" hidden="1">'ведомственная'!$E$15:$E$16</definedName>
    <definedName name="Z_379389A7_0E72_4662_9492_EF7DA9CE8C1F_.wvu.FilterData" localSheetId="2" hidden="1">'ведомственная'!$E$15:$E$16</definedName>
    <definedName name="Z_38A8019D_F7EA_41CA_A313_9C5B9D618B23_.wvu.FilterData" localSheetId="2" hidden="1">'ведомственная'!$E$15:$E$16</definedName>
    <definedName name="Z_38DAD992_3957_4277_ACCB_EC6CC762D5D5_.wvu.FilterData" localSheetId="2" hidden="1">'ведомственная'!$E$15:$E$16</definedName>
    <definedName name="Z_3BE99707_F5A1_4E55_8DDB_C0239ADC4C98_.wvu.FilterData" localSheetId="2" hidden="1">'ведомственная'!$E$15:$E$16</definedName>
    <definedName name="Z_4B7EFD76_0B2D_4CBB_9CE2_C1A87786B8FD_.wvu.FilterData" localSheetId="2" hidden="1">'ведомственная'!$E$15:$E$16</definedName>
    <definedName name="Z_4D7A7110_392A_4484_9B1B_C70D8D752EFA_.wvu.FilterData" localSheetId="2" hidden="1">'ведомственная'!$E$15:$E$16</definedName>
    <definedName name="Z_4FE9A5CB_84A2_4307_9903_109DA66D4E2E_.wvu.Cols" localSheetId="2" hidden="1">'ведомственная'!#REF!</definedName>
    <definedName name="Z_4FE9A5CB_84A2_4307_9903_109DA66D4E2E_.wvu.FilterData" localSheetId="2" hidden="1">'ведомственная'!$E$15:$E$16</definedName>
    <definedName name="Z_50A91611_6C67_45BD_BD4A_6AFA4A029EDD_.wvu.FilterData" localSheetId="2" hidden="1">'ведомственная'!$E$15:$E$16</definedName>
    <definedName name="Z_52B1A979_9C58_4412_ACDB_6966BFCF7D47_.wvu.FilterData" localSheetId="2" hidden="1">'ведомственная'!$E$15:$E$16</definedName>
    <definedName name="Z_5BA3C75F_2BE9_4196_897F_8796335772FA_.wvu.FilterData" localSheetId="2" hidden="1">'ведомственная'!$E$15:$E$16</definedName>
    <definedName name="Z_5DE99D0B_16A2_4C77_A9F2_2F32E6F19120_.wvu.FilterData" localSheetId="2" hidden="1">'ведомственная'!$E$15:$E$16</definedName>
    <definedName name="Z_61532AD7_8475_4B9E_A9C1_2AF5E37FFF44_.wvu.Cols" localSheetId="0" hidden="1">'РП'!#REF!</definedName>
    <definedName name="Z_61532AD7_8475_4B9E_A9C1_2AF5E37FFF44_.wvu.FilterData" localSheetId="2" hidden="1">'ведомственная'!$E$15:$E$16</definedName>
    <definedName name="Z_61532AD7_8475_4B9E_A9C1_2AF5E37FFF44_.wvu.PrintArea" localSheetId="0" hidden="1">'РП'!$A$13:$D$59</definedName>
    <definedName name="Z_61532AD7_8475_4B9E_A9C1_2AF5E37FFF44_.wvu.PrintTitles" localSheetId="0" hidden="1">'РП'!$16:$16</definedName>
    <definedName name="Z_61532AD7_8475_4B9E_A9C1_2AF5E37FFF44_.wvu.Rows" localSheetId="0" hidden="1">'РП'!#REF!</definedName>
    <definedName name="Z_6B99CF46_DBB1_4A22_B5B6_E531A998AB21_.wvu.FilterData" localSheetId="2" hidden="1">'ведомственная'!$E$15:$E$16</definedName>
    <definedName name="Z_6BD40141_54D5_446D_A6AC_E8E3B6FC23AD_.wvu.FilterData" localSheetId="2" hidden="1">'ведомственная'!$F$15:$F$16</definedName>
    <definedName name="Z_6E5F5D33_2429_4DF7_AFA5_E0605C24C932_.wvu.FilterData" localSheetId="2" hidden="1">'ведомственная'!$E$15:$E$16</definedName>
    <definedName name="Z_745668DA_7EAE_40FC_BDE5_6E5B24099C2E_.wvu.FilterData" localSheetId="2" hidden="1">'ведомственная'!$E$15:$E$16</definedName>
    <definedName name="Z_8180E4C8_989C_4E96_A7DD_AFC831F8741D_.wvu.FilterData" localSheetId="2" hidden="1">'ведомственная'!$E$15:$E$16</definedName>
    <definedName name="Z_894A5CE0_4BC5_4B0E_979C_48039A59415B_.wvu.FilterData" localSheetId="2" hidden="1">'ведомственная'!$E$15:$E$16</definedName>
    <definedName name="Z_933F2D6F_8178_48DF_86B0_8B593FC9FF62_.wvu.FilterData" localSheetId="2" hidden="1">'ведомственная'!$E$15:$E$16</definedName>
    <definedName name="Z_9A50CC09_1AEB_40F5_B9E3_1031AEFBF680_.wvu.FilterData" localSheetId="2" hidden="1">'ведомственная'!$E$15:$E$16</definedName>
    <definedName name="Z_A3C3838E_E3CC_4E27_8B8C_945FD0FA461A_.wvu.FilterData" localSheetId="2" hidden="1">'ведомственная'!$E$15:$E$16</definedName>
    <definedName name="Z_A434FA91_5BCB_4EA8_9111_8CAA80E64CBC_.wvu.FilterData" localSheetId="2" hidden="1">'ведомственная'!$E$15:$E$16</definedName>
    <definedName name="Z_A707A2BE_3045_4302_9C20_6E42AB31EAFF_.wvu.FilterData" localSheetId="2" hidden="1">'ведомственная'!$E$15:$E$16</definedName>
    <definedName name="Z_AF53F382_CD51_47F0_BE2C_806C4CF70ADD_.wvu.PrintTitles" localSheetId="2" hidden="1">'ведомственная'!$16:$16</definedName>
    <definedName name="Z_AFAA24A5_B54F_40C9_9D6F_D4A87D90AFE2_.wvu.Cols" localSheetId="2" hidden="1">'ведомственная'!#REF!</definedName>
    <definedName name="Z_AFAA24A5_B54F_40C9_9D6F_D4A87D90AFE2_.wvu.Cols" localSheetId="0" hidden="1">'РП'!#REF!</definedName>
    <definedName name="Z_AFAA24A5_B54F_40C9_9D6F_D4A87D90AFE2_.wvu.FilterData" localSheetId="2" hidden="1">'ведомственная'!$E$15:$E$16</definedName>
    <definedName name="Z_AFAA24A5_B54F_40C9_9D6F_D4A87D90AFE2_.wvu.PrintArea" localSheetId="2" hidden="1">'ведомственная'!$A$15:$G$16</definedName>
    <definedName name="Z_AFAA24A5_B54F_40C9_9D6F_D4A87D90AFE2_.wvu.PrintTitles" localSheetId="2" hidden="1">'ведомственная'!$15:$16</definedName>
    <definedName name="Z_B978C0E0_BA0D_4ECF_A684_E7950C96BA4D_.wvu.FilterData" localSheetId="2" hidden="1">'ведомственная'!$E$15:$E$16</definedName>
    <definedName name="Z_C01AF835_6616_41ED_9906_8C6A95B0DB53_.wvu.FilterData" localSheetId="2" hidden="1">'ведомственная'!$E$15:$E$16</definedName>
    <definedName name="Z_C819BBC0_576F_4857_A6DE_C7E4354159E5_.wvu.FilterData" localSheetId="2" hidden="1">'ведомственная'!$E$15:$E$16</definedName>
    <definedName name="Z_C8707976_6AA1_46D3_983C_C10C547FE6D0_.wvu.Rows" localSheetId="2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2" hidden="1">'ведомственная'!$E$15:$E$16</definedName>
    <definedName name="Z_D1F502E2_5131_411C_9E8E_378CED927489_.wvu.FilterData" localSheetId="2" hidden="1">'ведомственная'!$E$15:$E$16</definedName>
    <definedName name="Z_DBDE1A38_EFF0_4158_B945_2C0E96A53B6E_.wvu.FilterData" localSheetId="2" hidden="1">'ведомственная'!$E$15:$E$16</definedName>
    <definedName name="Z_DCF4D08F_FB90_4C57_9649_2DF44D893F09_.wvu.FilterData" localSheetId="2" hidden="1">'ведомственная'!$E$15:$E$16</definedName>
    <definedName name="Z_E141AC46_44C7_4E5C_AF93_9D20C0DEB400_.wvu.FilterData" localSheetId="2" hidden="1">'ведомственная'!$F$15:$F$16</definedName>
    <definedName name="Z_E27ABCB8_176E_4D46_A57F_8AB156C9D5A1_.wvu.FilterData" localSheetId="2" hidden="1">'ведомственная'!$E$15:$E$16</definedName>
    <definedName name="Z_E31B5852_F6F9_4AFA_A6D3_80121041449E_.wvu.FilterData" localSheetId="2" hidden="1">'ведомственная'!$E$15:$E$16</definedName>
    <definedName name="Z_E5D1DF5E_DDCC_445C_A369_8F5E795BF45C_.wvu.FilterData" localSheetId="2" hidden="1">'ведомственная'!$E$15:$E$16</definedName>
    <definedName name="Z_E82A3278_DCC3_4405_8222_DCCE7092ACC7_.wvu.FilterData" localSheetId="2" hidden="1">'ведомственная'!$E$15:$E$16</definedName>
    <definedName name="Z_E9523752_B05C_4843_A627_1E3C9C75F558_.wvu.FilterData" localSheetId="2" hidden="1">'ведомственная'!$E$15:$E$16</definedName>
    <definedName name="Z_EA87F52B_29D4_4A11_9A40_3D5CBBE0B798_.wvu.PrintTitles" localSheetId="2" hidden="1">'ведомственная'!$16:$16</definedName>
    <definedName name="Z_EBE8766F_E7E2_4345_A25B_0E3CF662E7B7_.wvu.FilterData" localSheetId="2" hidden="1">'ведомственная'!$E$15:$E$16</definedName>
    <definedName name="Z_F399CD2D_9566_454F_B0D4_4503A0F8F2CB_.wvu.FilterData" localSheetId="2" hidden="1">'ведомственная'!$E$15:$E$16</definedName>
    <definedName name="Z_F65AA4FC_5B89_4684_8B36_BA70B4E74CA1_.wvu.FilterData" localSheetId="2" hidden="1">'ведомственная'!$E$15:$E$16</definedName>
    <definedName name="Z_F6B47D43_C3D8_4CEB_AE3D_4D583A92F905_.wvu.FilterData" localSheetId="2" hidden="1">'ведомственная'!$E$15:$E$16</definedName>
    <definedName name="_xlnm.Print_Titles" localSheetId="2">'ведомственная'!$15:$16</definedName>
    <definedName name="_xlnm.Print_Titles" localSheetId="0">'РП'!$15:$16</definedName>
    <definedName name="CRITERIA" localSheetId="2">'ведомственная'!#REF!</definedName>
    <definedName name="_xlnm.Print_Area" localSheetId="2">'ведомственная'!$A$1:$W$970</definedName>
    <definedName name="_xlnm.Print_Area" localSheetId="1">'пояснит РП'!$A$1:$F$79</definedName>
    <definedName name="_xlnm.Print_Area" localSheetId="3">'Пояснит.вед'!$A$1:$X$960</definedName>
    <definedName name="_xlnm.Print_Area" localSheetId="5">'Пояснит.прогр.'!$A$1:$I$772</definedName>
    <definedName name="_xlnm.Print_Area" localSheetId="4">'программы'!$A$1:$H$782</definedName>
    <definedName name="_xlnm.Print_Area" localSheetId="0">'РП'!$A$1:$E$61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<sst xmlns="http://schemas.openxmlformats.org/spreadsheetml/2006/main" count="12872" uniqueCount="725">
  <si>
    <t>04 0 00 00000</t>
  </si>
  <si>
    <t>04 1 00 00000</t>
  </si>
  <si>
    <t>04 1 00 43500</t>
  </si>
  <si>
    <t>05 0 00 00000</t>
  </si>
  <si>
    <t>05 0 00 42250</t>
  </si>
  <si>
    <t>05 0 00 42260</t>
  </si>
  <si>
    <t>07 0 00 00000</t>
  </si>
  <si>
    <t>Мероприятия в области благоустройства</t>
  </si>
  <si>
    <t>Благоустройство</t>
  </si>
  <si>
    <t>21 0 00 43510</t>
  </si>
  <si>
    <t>22 0 00  00000</t>
  </si>
  <si>
    <t>02 0 00 00000</t>
  </si>
  <si>
    <t>02 1 00 00000</t>
  </si>
  <si>
    <t>12 0 00 00000</t>
  </si>
  <si>
    <t>12 0 00 42910</t>
  </si>
  <si>
    <t>15 0 00 00000</t>
  </si>
  <si>
    <t>15 0 00 43290</t>
  </si>
  <si>
    <t>16 0 00 00000</t>
  </si>
  <si>
    <t>19 0 00 00000</t>
  </si>
  <si>
    <t>21 0 00 00000</t>
  </si>
  <si>
    <t>21 0 00 41180</t>
  </si>
  <si>
    <t>21 0 00 42920</t>
  </si>
  <si>
    <t>24 0 00  00000</t>
  </si>
  <si>
    <t xml:space="preserve">Доплаты к пенсиям муниципальных служащих </t>
  </si>
  <si>
    <t>65 0 00 00000</t>
  </si>
  <si>
    <t>02 1 00 44050</t>
  </si>
  <si>
    <t>02 1 00 44060</t>
  </si>
  <si>
    <t>02 1 00 40100</t>
  </si>
  <si>
    <t>02 2 00 00000</t>
  </si>
  <si>
    <t>02 2 00 40100</t>
  </si>
  <si>
    <t>02 2 00 44050</t>
  </si>
  <si>
    <t>02 2 00 44060</t>
  </si>
  <si>
    <t>02 2 00 44070</t>
  </si>
  <si>
    <t>02 3 00 00000</t>
  </si>
  <si>
    <t>02 3 00 40100</t>
  </si>
  <si>
    <t>02 3 00 44070</t>
  </si>
  <si>
    <t>02 3 00 44080</t>
  </si>
  <si>
    <t>02 2 00 78620</t>
  </si>
  <si>
    <t>11 0 00 00000</t>
  </si>
  <si>
    <t>11 1 00 45410</t>
  </si>
  <si>
    <t>11 2 00 00000</t>
  </si>
  <si>
    <t>26 0 00 00000</t>
  </si>
  <si>
    <t>26 0 00 40010</t>
  </si>
  <si>
    <t>01 0 00 00000</t>
  </si>
  <si>
    <t>01 0 00 40010</t>
  </si>
  <si>
    <t>01 0 00 41410</t>
  </si>
  <si>
    <t>26 0 00 78690</t>
  </si>
  <si>
    <t>26 0 00 78710</t>
  </si>
  <si>
    <t>03 1 00 00000</t>
  </si>
  <si>
    <t>03 1 00 40540</t>
  </si>
  <si>
    <t>03 2 00 00000</t>
  </si>
  <si>
    <t>03 2 00 40540</t>
  </si>
  <si>
    <t>18 0 00 00000</t>
  </si>
  <si>
    <t>26 0 00 40480</t>
  </si>
  <si>
    <t>09 0 00 00000</t>
  </si>
  <si>
    <t>Подпрограмма "Обеспечение безопасности людей на водных объектах"</t>
  </si>
  <si>
    <t>09 4 00 00000</t>
  </si>
  <si>
    <t>09 4 00 41680</t>
  </si>
  <si>
    <t>Мероприятия по профилактике безопасности людей на водных объектах</t>
  </si>
  <si>
    <t>22 2 00 41750</t>
  </si>
  <si>
    <t>22 2 00 00000</t>
  </si>
  <si>
    <t>22 0 00 00000</t>
  </si>
  <si>
    <t>22 1 00 00000</t>
  </si>
  <si>
    <t>22 1 00 40010</t>
  </si>
  <si>
    <t>67 0 00 00000</t>
  </si>
  <si>
    <t>67 0 00 41400</t>
  </si>
  <si>
    <t>18 2 00 00000</t>
  </si>
  <si>
    <t>62 0 00 00000</t>
  </si>
  <si>
    <t>62 1 00 00000</t>
  </si>
  <si>
    <t>62 1 00 40010</t>
  </si>
  <si>
    <t>21 0 00 40010</t>
  </si>
  <si>
    <t>64 0 00 00000</t>
  </si>
  <si>
    <t>64 1 00 00000</t>
  </si>
  <si>
    <t>64 1 00 40010</t>
  </si>
  <si>
    <t>13 0 00 00000</t>
  </si>
  <si>
    <t>13 1 00 00000</t>
  </si>
  <si>
    <t>13 2 00 00000</t>
  </si>
  <si>
    <t>13 2 00 42930</t>
  </si>
  <si>
    <t>02 1 00 78620</t>
  </si>
  <si>
    <t>02 1 00 78650</t>
  </si>
  <si>
    <t>17 0 00 00000</t>
  </si>
  <si>
    <t>17 0 00 42080</t>
  </si>
  <si>
    <t>03 0 00 00000</t>
  </si>
  <si>
    <t>08 0 00 00000</t>
  </si>
  <si>
    <t>Социальные выплаты гражданам, кроме публичных нормативных социальных выплат</t>
  </si>
  <si>
    <t>300</t>
  </si>
  <si>
    <t>320</t>
  </si>
  <si>
    <t>800</t>
  </si>
  <si>
    <t>810</t>
  </si>
  <si>
    <t>Социальное обеспечение и иные выплаты населению</t>
  </si>
  <si>
    <t>Иные бюджетные ассигнования</t>
  </si>
  <si>
    <t>Резервные средства</t>
  </si>
  <si>
    <t>Мероприятия в сфере общегосударственных вопросов, осуществляемые органами местного самоуправления</t>
  </si>
  <si>
    <t xml:space="preserve">Поддержка малого и среднего предпринимательства </t>
  </si>
  <si>
    <t>Мероприятия в сфере социальной политики, осуществляемые органами местного самоуправления</t>
  </si>
  <si>
    <t xml:space="preserve">Финансовая поддержка социально-ориентированных некоммерческих организаций </t>
  </si>
  <si>
    <t xml:space="preserve">Мероприятия, связанные с проведением сельскохозяйственных ярмарок, конкурсов животноводов </t>
  </si>
  <si>
    <t>Мероприятия по развитию туризма</t>
  </si>
  <si>
    <t>Мероприятия в сфере патриотического воспитания граждан и молодежной политики</t>
  </si>
  <si>
    <t xml:space="preserve">Осуществление государственных полномочий в сфере административных правонарушений </t>
  </si>
  <si>
    <t>Осуществление первичного воинского учета на территориях, где отсутствуют военные комиссариаты</t>
  </si>
  <si>
    <t>Поддержка предприятий агропромышленного комплекса</t>
  </si>
  <si>
    <t xml:space="preserve">Обслуживание муниципального долга </t>
  </si>
  <si>
    <t>Расходы на содержание органов местного самоуправления и обеспечение их функций</t>
  </si>
  <si>
    <t xml:space="preserve">Расходы на обеспечение деятельности подведомственных учреждений </t>
  </si>
  <si>
    <t xml:space="preserve">Мероприятия в области образования </t>
  </si>
  <si>
    <t>Расходы на обеспечение деятельности подведомственных учреждений</t>
  </si>
  <si>
    <t xml:space="preserve"> Мероприятия по оздоровлению детей </t>
  </si>
  <si>
    <t xml:space="preserve">Расходы на содержание органов местного самоуправления  и обеспечение их функций </t>
  </si>
  <si>
    <t>Инвентаризация и оценка муниципального имущества</t>
  </si>
  <si>
    <t xml:space="preserve">Мероприятия по землеустройству и землепользованию 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</si>
  <si>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</si>
  <si>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</si>
  <si>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</si>
  <si>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</si>
  <si>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 xml:space="preserve">Расходы на содержание органов местного самоуправления и обеспечение их функций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</si>
  <si>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</si>
  <si>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Мероприятия по противодействию коррупции 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</si>
  <si>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</si>
  <si>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</si>
  <si>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</si>
  <si>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</si>
  <si>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</si>
  <si>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13</t>
  </si>
  <si>
    <t>Социальное обеспечение населения</t>
  </si>
  <si>
    <t>Другие вопросы в области образования</t>
  </si>
  <si>
    <t>Коммунальное хозяйство</t>
  </si>
  <si>
    <t>10</t>
  </si>
  <si>
    <t>Национальная безопасность и правоохранительная деятельность</t>
  </si>
  <si>
    <t>07</t>
  </si>
  <si>
    <t>06</t>
  </si>
  <si>
    <t>Общегосударственные вопросы</t>
  </si>
  <si>
    <t>7</t>
  </si>
  <si>
    <t>Сумма,                                 тыс. рублей</t>
  </si>
  <si>
    <t>Сумма,                                     тыс. рублей</t>
  </si>
  <si>
    <t>4</t>
  </si>
  <si>
    <t>Другие вопросы в области национальной экономики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</si>
  <si>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</si>
  <si>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</si>
  <si>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</si>
  <si>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к решению Собрания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</si>
  <si>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</si>
  <si>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</si>
  <si>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        Всего</t>
  </si>
  <si>
    <t>Жилищно-коммунальное хозяйство</t>
  </si>
  <si>
    <t>Целевая статья</t>
  </si>
  <si>
    <t>Наименование</t>
  </si>
  <si>
    <t>Гла-ва</t>
  </si>
  <si>
    <t>Раз-дел</t>
  </si>
  <si>
    <t>Под-раз-дел</t>
  </si>
  <si>
    <t>Вид рас-хо-дов</t>
  </si>
  <si>
    <t>Дошкольное образование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</si>
  <si>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</si>
  <si>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</si>
  <si>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</si>
  <si>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политика</t>
  </si>
  <si>
    <t>11</t>
  </si>
  <si>
    <t>01</t>
  </si>
  <si>
    <t>03</t>
  </si>
  <si>
    <t>Охрана семьи и детства</t>
  </si>
  <si>
    <t>08</t>
  </si>
  <si>
    <t>Культура</t>
  </si>
  <si>
    <t>Физическая культура и спорт</t>
  </si>
  <si>
    <t>Резервные фонды</t>
  </si>
  <si>
    <t>12</t>
  </si>
  <si>
    <t>Пенсионное обеспечение</t>
  </si>
  <si>
    <t>Образование</t>
  </si>
  <si>
    <t>Общее образование</t>
  </si>
  <si>
    <t>09</t>
  </si>
  <si>
    <t>Национальная экономика</t>
  </si>
  <si>
    <t>04</t>
  </si>
  <si>
    <t>02</t>
  </si>
  <si>
    <t>05</t>
  </si>
  <si>
    <t>Транспорт</t>
  </si>
  <si>
    <t>904</t>
  </si>
  <si>
    <t xml:space="preserve"> </t>
  </si>
  <si>
    <t xml:space="preserve">07 </t>
  </si>
  <si>
    <t>901</t>
  </si>
  <si>
    <t>600</t>
  </si>
  <si>
    <t>Бюджетные инвестиции</t>
  </si>
  <si>
    <t xml:space="preserve">10 </t>
  </si>
  <si>
    <t>902</t>
  </si>
  <si>
    <t>Национаяльная экономика</t>
  </si>
  <si>
    <t>903</t>
  </si>
  <si>
    <t>907</t>
  </si>
  <si>
    <t>Массовый спорт</t>
  </si>
  <si>
    <t>ИТОГО</t>
  </si>
  <si>
    <t>240</t>
  </si>
  <si>
    <t>200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</si>
  <si>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</si>
  <si>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бюджетным,автономным учреждениям и иным некоммерческим организациям</t>
  </si>
  <si>
    <t>Субсидии бюджетным учреждениям</t>
  </si>
  <si>
    <t>610</t>
  </si>
  <si>
    <t>Расходы на выплаты персоналу государственных (муниципальных) органов</t>
  </si>
  <si>
    <t>120</t>
  </si>
  <si>
    <t>Субсиди автономным учреждениям</t>
  </si>
  <si>
    <t>620</t>
  </si>
  <si>
    <t>Субсидии автономным учреждениям</t>
  </si>
  <si>
    <t>100</t>
  </si>
  <si>
    <t>400</t>
  </si>
  <si>
    <t>410</t>
  </si>
  <si>
    <t>Подпрограмма "Организация отдыха и оздоровления детей"</t>
  </si>
  <si>
    <t>Предоставление субсидий бюджетным,
автономным учреждениям и иным некоммерческим организациям</t>
  </si>
  <si>
    <t>630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</si>
  <si>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</si>
  <si>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</si>
  <si>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Функционирование высшего должностного лица субъекта РФ и муниципального образования</t>
  </si>
  <si>
    <t>908</t>
  </si>
  <si>
    <t>Жилищное хозяйство</t>
  </si>
  <si>
    <t>Уплата налогов, сборов и иных платежей</t>
  </si>
  <si>
    <t>850</t>
  </si>
  <si>
    <t xml:space="preserve">01 </t>
  </si>
  <si>
    <t>Подпрограмма "Старшее поколение"</t>
  </si>
  <si>
    <t>909</t>
  </si>
  <si>
    <t>65 0 00 47050</t>
  </si>
  <si>
    <t>Доплаты к пенсиям муниципальных служащих</t>
  </si>
  <si>
    <t>Проезд к месту использования отпуска и обратно</t>
  </si>
  <si>
    <t>02 1 00 40210</t>
  </si>
  <si>
    <t>02 3 00 40210</t>
  </si>
  <si>
    <t>21 0 00 40480</t>
  </si>
  <si>
    <t>18 1 00 00000</t>
  </si>
  <si>
    <t xml:space="preserve">13 2 00 42930 </t>
  </si>
  <si>
    <t>02 2 00 40210</t>
  </si>
  <si>
    <t>13 1 00 40100</t>
  </si>
  <si>
    <t xml:space="preserve">13 2 00 00000 </t>
  </si>
  <si>
    <t>11 1 00 00000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</si>
  <si>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</si>
  <si>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</si>
  <si>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</si>
  <si>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</t>
  </si>
  <si>
    <t>3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</si>
  <si>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документации, капитальный ремонт и ремонт дворовых территорий многоквартирных домов, проездов к дворовым территориям многоквартирных домов</t>
  </si>
  <si>
    <t>Мероприятия в области жилищно-коммунального хозяйства</t>
  </si>
  <si>
    <t xml:space="preserve">Молодежная политика </t>
  </si>
  <si>
    <t>340</t>
  </si>
  <si>
    <t>Стипендии</t>
  </si>
  <si>
    <t>25 0 00 00000</t>
  </si>
  <si>
    <t>25 1 00 00000</t>
  </si>
  <si>
    <t>25 1 00 44030</t>
  </si>
  <si>
    <t>25 2 00 00000</t>
  </si>
  <si>
    <t>Дополнительное образование детей</t>
  </si>
  <si>
    <t>Молодежная политика</t>
  </si>
  <si>
    <t>25 1 00 78320</t>
  </si>
  <si>
    <t>Прочие выплаты по обязательствам органов местного самоуправления</t>
  </si>
  <si>
    <t>02 1 00 78390</t>
  </si>
  <si>
    <t>02 2 00 78390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</si>
  <si>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</si>
  <si>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</si>
  <si>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26 0 00 51200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</si>
  <si>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</si>
  <si>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</si>
  <si>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</si>
  <si>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Лесное хозяйство</t>
  </si>
  <si>
    <t>26 0 00 40100</t>
  </si>
  <si>
    <t>110</t>
  </si>
  <si>
    <t>Расходы на выплаты персоналу казенных учреждений</t>
  </si>
  <si>
    <t>КУЛЬТУРА, КИНЕМАТОГРАФИЯ</t>
  </si>
  <si>
    <t>Питание обучающихся  с ограниченными возможностями здоровья</t>
  </si>
  <si>
    <t>02 2 00 47020</t>
  </si>
  <si>
    <t>02 2 00 S8330</t>
  </si>
  <si>
    <t>26 0 00 78791</t>
  </si>
  <si>
    <t>27 0 00 00000</t>
  </si>
  <si>
    <t>27 0 00 40010</t>
  </si>
  <si>
    <t>Предоставление субсидий бюджетным, автономным учреждениям и иным некоммерческим организациям</t>
  </si>
  <si>
    <t>Культура, кинематография</t>
  </si>
  <si>
    <t>11 1 00 S8520</t>
  </si>
  <si>
    <t xml:space="preserve">Текущий ремонт зданий бюджетных и автономных учреждений </t>
  </si>
  <si>
    <t xml:space="preserve">Повышение квалификации и привлечение кадрового потенциала в бюджетных и автономных учреждениях </t>
  </si>
  <si>
    <t>Обеспечение безопасных условий в бюджетных и автономных учреждениях</t>
  </si>
  <si>
    <t>Развитие и укрепление материально-технической базы бюджетных и автономных  учреждений</t>
  </si>
  <si>
    <t xml:space="preserve">Мероприятия в сфере  физической культуры и спорта </t>
  </si>
  <si>
    <t>Меры социальной поддержки квалифицированных специалистов на селе</t>
  </si>
  <si>
    <t>Реализация образовательных программ</t>
  </si>
  <si>
    <t>18 1 00 S8420</t>
  </si>
  <si>
    <t>18 2  00 00000</t>
  </si>
  <si>
    <t>18 2 00 41170</t>
  </si>
  <si>
    <t>18 2 00 S8410</t>
  </si>
  <si>
    <t>12 0 00 78700</t>
  </si>
  <si>
    <t>24 1 00 00000</t>
  </si>
  <si>
    <t>24 1 00 L5760</t>
  </si>
  <si>
    <t>Обеспечение комплексного развития сельских территорий</t>
  </si>
  <si>
    <t>24 2 00 00000</t>
  </si>
  <si>
    <t>24 2 00 L5760</t>
  </si>
  <si>
    <t>25 2 0044070</t>
  </si>
  <si>
    <t>25 2 00 44050</t>
  </si>
  <si>
    <t>70 0 00 00000</t>
  </si>
  <si>
    <t>Мероприятия по реализации государственных функций, связанных с общегосударственным управлением</t>
  </si>
  <si>
    <t>70 0 00 40030</t>
  </si>
  <si>
    <t>Исполнение судебных актов</t>
  </si>
  <si>
    <t>Подпрограмма «Создание и развитие инфраструктуры на сельских территориях»</t>
  </si>
  <si>
    <t xml:space="preserve">600 </t>
  </si>
  <si>
    <t>905</t>
  </si>
  <si>
    <t>Обеспечение деятельности подведомственных учреждений</t>
  </si>
  <si>
    <t>13 1 00 40210</t>
  </si>
  <si>
    <t>13 1 00 40220</t>
  </si>
  <si>
    <t>Текущий ремонт зданий бюджетных и автономных учреждений</t>
  </si>
  <si>
    <t>13 1 00 44050</t>
  </si>
  <si>
    <t>13 1 00 44070</t>
  </si>
  <si>
    <t>Мероприятия в сфере культуры и искусства</t>
  </si>
  <si>
    <t>13 1 00 45050</t>
  </si>
  <si>
    <t>13 3 00 00000</t>
  </si>
  <si>
    <t>13 3 00 40100</t>
  </si>
  <si>
    <t>13 3 00 40210</t>
  </si>
  <si>
    <t>13 3 00 44010</t>
  </si>
  <si>
    <t>13 3 00 44070</t>
  </si>
  <si>
    <t>13 3 00 44080</t>
  </si>
  <si>
    <t>13 3 00 44050</t>
  </si>
  <si>
    <t>13 3 00 78390</t>
  </si>
  <si>
    <t>Мероприятия по развитию физической культуры и спорта в муниципальных образованиях</t>
  </si>
  <si>
    <t xml:space="preserve">Мероприятия по реализации молодежной политики в муниципальных образованиях </t>
  </si>
  <si>
    <t>09 1 00 00000</t>
  </si>
  <si>
    <t>Подпрограмма «Создание условий для обеспечения доступным и комфортным жильем сельского населения»</t>
  </si>
  <si>
    <t>Мероприятия по реализации функций, связанных с общегосударственным управлением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</si>
  <si>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</si>
  <si>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02 2 00 S6880</t>
  </si>
  <si>
    <t>Развитие территориального общественного самоуправления в Архангельской области</t>
  </si>
  <si>
    <t>Реализация муниципальных программ поддержки социально ориентированных некоммерческих организаций</t>
  </si>
  <si>
    <t>МП «Развитие сферы культуры и туризма на территории города Няндома и Няндомского района»</t>
  </si>
  <si>
    <t xml:space="preserve">Мероприятия в сфере физической культуры и спорта </t>
  </si>
  <si>
    <t>02 3 00 44010</t>
  </si>
  <si>
    <t xml:space="preserve">Резервные фонды </t>
  </si>
  <si>
    <t xml:space="preserve">                                                                                     к решению Собрания депутатов</t>
  </si>
  <si>
    <t>Адресная программа Архангельской области "Переселение граждан из аварийного жилищного фонда на 2019 - 2025 годы"</t>
  </si>
  <si>
    <t>51 0 00 00000</t>
  </si>
  <si>
    <t>51 0 00 67483</t>
  </si>
  <si>
    <t>51 0 00 67484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</si>
  <si>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</si>
  <si>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</si>
  <si>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10 0 00 00000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</si>
  <si>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</si>
  <si>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10 0 00 54240</t>
  </si>
  <si>
    <t>Другие вопросы в области социальной политики</t>
  </si>
  <si>
    <t>23 0 00  00000</t>
  </si>
  <si>
    <t>23 0 00 78730</t>
  </si>
  <si>
    <t>Осуществление государственных полномочий по выплате вознаграждений профессиональным опекунам</t>
  </si>
  <si>
    <t>Развитие и укрепление материально-технической базы бюджетных и автономных учреждений</t>
  </si>
  <si>
    <t>МП "Развитие физической культуры, спорта и создание условий для формирования здорового образа жизни на территории Няндомского района"</t>
  </si>
  <si>
    <t>14 0 00 00000</t>
  </si>
  <si>
    <t>02 2 00 S6600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</si>
  <si>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Архангельской области (без федерального софинансирования)</t>
  </si>
  <si>
    <t>26 0 00 78793</t>
  </si>
  <si>
    <t>Подпрограмма  "Крепкая семья"</t>
  </si>
  <si>
    <t>28 0 00 00000</t>
  </si>
  <si>
    <t>МП " Укрепление общественного здоровья населения Няндомского района"</t>
  </si>
  <si>
    <t xml:space="preserve">28 0 00 40540 </t>
  </si>
  <si>
    <t>23 0 00 00000</t>
  </si>
  <si>
    <t>23 0 00 40540</t>
  </si>
  <si>
    <t>28 0 00 40540</t>
  </si>
  <si>
    <t>08 0 00 40540</t>
  </si>
  <si>
    <t>Софинансирование мероприятий по предотвращению распространения сорного растения борщевика Сосновского на землях сельскохозяйственного назначения</t>
  </si>
  <si>
    <t>05 0 00 S2640</t>
  </si>
  <si>
    <t>05 0 00 40030</t>
  </si>
  <si>
    <t>14 0 00 44020</t>
  </si>
  <si>
    <t>Подпрограмма «Развитие муниципального бюджетного учреждения «Няндомская спортивная школа»</t>
  </si>
  <si>
    <t>20 0 00 00000</t>
  </si>
  <si>
    <t>20 0 00 40540</t>
  </si>
  <si>
    <t>02 2 00 S6560</t>
  </si>
  <si>
    <t>02 2 00 S6980</t>
  </si>
  <si>
    <t>Обеспечение условий для развития кадрового потенциала муниципальных образовательных организаций Архангельской области</t>
  </si>
  <si>
    <t>02 3 00 44060</t>
  </si>
  <si>
    <t>25 2 0044080</t>
  </si>
  <si>
    <t>16 0 00 43570</t>
  </si>
  <si>
    <t>29 0 00 00000</t>
  </si>
  <si>
    <t>29 0 00 40010</t>
  </si>
  <si>
    <t>13 3 00 55191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</si>
  <si>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</si>
  <si>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11 2 00 40100</t>
  </si>
  <si>
    <t>11 2 00 40210</t>
  </si>
  <si>
    <t>11 2 00 44060</t>
  </si>
  <si>
    <t>11 2 00 44070</t>
  </si>
  <si>
    <t>11 2 00 45410</t>
  </si>
  <si>
    <t>11 2 00 S8520</t>
  </si>
  <si>
    <t>14 0 00 S8530</t>
  </si>
  <si>
    <t>контроль</t>
  </si>
  <si>
    <t>отклонение</t>
  </si>
  <si>
    <t>Резервный фонд администрации Няндомского муниципального района Архангельской области</t>
  </si>
  <si>
    <t>02 4 00 40010</t>
  </si>
  <si>
    <t>02 4 00 00000</t>
  </si>
  <si>
    <t>02 4 00 44010</t>
  </si>
  <si>
    <t>02 3 00 40101</t>
  </si>
  <si>
    <t>Внедрение модели персонифицированного финансирования дополнительного образования детей</t>
  </si>
  <si>
    <t>Внедрение модели персонифицированного  финансирования дополнительного образования детей</t>
  </si>
  <si>
    <t xml:space="preserve">                                                                                     Архангельской области</t>
  </si>
  <si>
    <t>Архангельской области</t>
  </si>
  <si>
    <t xml:space="preserve">Гражданская оборона
</t>
  </si>
  <si>
    <t>Обслуживание государственного (муниципального) внутреннего долга</t>
  </si>
  <si>
    <t xml:space="preserve">Коммунальное хозяйство </t>
  </si>
  <si>
    <t>Гражданская оборона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</si>
  <si>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</si>
  <si>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</si>
  <si>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02 2 00 53030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</si>
  <si>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</si>
  <si>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906</t>
  </si>
  <si>
    <t xml:space="preserve">Реконструкция и капитальный ремонт муниципальных музеев
</t>
  </si>
  <si>
    <t>13 2 00 55970</t>
  </si>
  <si>
    <t>Реконструкция и капитальный ремонт муниципальных музеев</t>
  </si>
  <si>
    <t>23 0 00 78792</t>
  </si>
  <si>
    <t>13 1 00 55130</t>
  </si>
  <si>
    <t>Субсидии на развитие сети учреждений культурно-досугового типа</t>
  </si>
  <si>
    <t>13 1 00 L5198</t>
  </si>
  <si>
    <t>09 1 00 40100</t>
  </si>
  <si>
    <t>Подпрограмма «Организация мероприятий по гражданской обороне, предупреждение чрезвычайных ситуаций и ликвидация их последствий, развитие единой дежурно-диспетчерской службы»</t>
  </si>
  <si>
    <t>Подпрограмма "Безопасность людей на водных объектах"</t>
  </si>
  <si>
    <t>Проведение комплексных кадастровых работ</t>
  </si>
  <si>
    <t>18 2 00 S4830</t>
  </si>
  <si>
    <t>Развитие системы инициативного бюджетирования в муниципальных округах Архангельской области</t>
  </si>
  <si>
    <t>Подпрограмма "Мир и согласие.Новые возможности"</t>
  </si>
  <si>
    <t>18 3 00 00000</t>
  </si>
  <si>
    <t>18 3 00 41170</t>
  </si>
  <si>
    <t>18 3  00 00000</t>
  </si>
  <si>
    <t>13 1 00 44080</t>
  </si>
  <si>
    <t>13 1 00 40990</t>
  </si>
  <si>
    <t>02 1 00 S6440</t>
  </si>
  <si>
    <t>02 2 00 40990</t>
  </si>
  <si>
    <t>02 2 00 S6440</t>
  </si>
  <si>
    <t>02 2 00 S8240</t>
  </si>
  <si>
    <t>02 2 00 L3042</t>
  </si>
  <si>
    <t>02 3 00 44050</t>
  </si>
  <si>
    <t>02 3 00 S6440</t>
  </si>
  <si>
    <t>11 2 00 50810</t>
  </si>
  <si>
    <t xml:space="preserve">02 1 00 S6440 </t>
  </si>
  <si>
    <t>02 2 00 44080</t>
  </si>
  <si>
    <t>02 2 00S8240</t>
  </si>
  <si>
    <t>310</t>
  </si>
  <si>
    <t>Публичные нормативные социальные выплаты гражданам</t>
  </si>
  <si>
    <t>02 1 00 44070</t>
  </si>
  <si>
    <t>02 1 00 44080</t>
  </si>
  <si>
    <t>Подпрограмма "Развитие муниципального бюджетного учреждения дополнительного образования «Детская школа искусств города Няндома»"</t>
  </si>
  <si>
    <t xml:space="preserve">                                                                                     Няндомского муниципального округа</t>
  </si>
  <si>
    <t>Распределение бюджетных ассигнований  по разделам и подразделам классификации расходов бюджета  Няндомского муниципального округа Архангельской области на 2023 год</t>
  </si>
  <si>
    <t>Няндомского муниципального округа</t>
  </si>
  <si>
    <t>Ведомственная структура расходов бюджета Няндомского муниципального округа Архангельской области на 2023 год</t>
  </si>
  <si>
    <t>Распределение бюджетных ассигнований на реализацию бюджета Няндомского муниципального округа Архангельской области и непрограммных направлений деятельности на 2023 год</t>
  </si>
  <si>
    <t>МП «Развитие сельского хозяйства на территории  Няндомского  муниципального округа»</t>
  </si>
  <si>
    <t>МП  «Развитие транспортной системы Няндомского муниципального округа»</t>
  </si>
  <si>
    <t>19 0 00 S6360</t>
  </si>
  <si>
    <t>Организация транспортного обслуживания населения на пассажирских муниципальных маршрутах автомобильного транспорта</t>
  </si>
  <si>
    <t>МП "Малое и среднее предпринимательство и поддержка индивидуальной предпринимательской инициативы на территории  Няндомского муниципального округа"</t>
  </si>
  <si>
    <t>Адресная программа Архангельской области "Переселение граждан из аварийного жилищного фонда на 2019 – 2025 годы"</t>
  </si>
  <si>
    <t>МП "Управление муниципальным имуществом и земельными ресурсами Няндомского  муниципального округа"</t>
  </si>
  <si>
    <t>МП "Совершенствование деятельности по  опеке и попечительству на территории Няндомского  муниципального округа"</t>
  </si>
  <si>
    <t>Взносы на капитальный ремонт многоквартирных домов</t>
  </si>
  <si>
    <t xml:space="preserve">МП "Строительство, ремонт и содержание автомобильных дорог общего пользования местного значения на территории Няндомского муниципального округа" </t>
  </si>
  <si>
    <t>МП "Строительство, ремонт и содержание муниципального жилого фонда на территории Няндомского округа"</t>
  </si>
  <si>
    <t>Ремонт и содержание жилого фонда</t>
  </si>
  <si>
    <t xml:space="preserve">МП "Развитие коммунальной инфраструктуры Няндомского муниципального  округа" </t>
  </si>
  <si>
    <t xml:space="preserve">МП "Благоустройство территории Няндомского муниципального округа" </t>
  </si>
  <si>
    <t>МП "Демографическая политика и социальная поддержка граждан на территории  Няндомского муниципального округа"</t>
  </si>
  <si>
    <t xml:space="preserve">Подпрограмма "Дом для молодой семьи" </t>
  </si>
  <si>
    <t>03 3 00 00000</t>
  </si>
  <si>
    <t>03 3 00 L4970</t>
  </si>
  <si>
    <t>Реализация мероприятий по обеспечению жильем молодых семей</t>
  </si>
  <si>
    <t>МП "Формирование современной городской среды на территории Няндомского муниципального  округа"</t>
  </si>
  <si>
    <t>10 0 00 55550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</si>
  <si>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</si>
  <si>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</si>
  <si>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</si>
  <si>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10 0 00 S6410</t>
  </si>
  <si>
    <t>10 0 00 43570</t>
  </si>
  <si>
    <t>16 0 00 40100</t>
  </si>
  <si>
    <t>МП "Содействие развитию институтов гражданского общества на территории Няндомского муниципального округа»"</t>
  </si>
  <si>
    <t>МП «Обеспечение и совершенствование деятельности администрации Няндомского муниципального округа»</t>
  </si>
  <si>
    <t>МП "Содействие развитию институтов гражданского общества на территории Няндомского муниципального округа"</t>
  </si>
  <si>
    <t>Предоставление выплат почетным гражданам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</si>
  <si>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</si>
  <si>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МП «Развитие  образования  на территории  Няндомского муниципального округа»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</si>
  <si>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</si>
  <si>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типа)па)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</si>
  <si>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</si>
  <si>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МП « Организация отдыха и оздоровление детей Няндомского муниципального округа»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</si>
  <si>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</si>
  <si>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26 0 00 51180</t>
  </si>
  <si>
    <t>НАЦИОНАЛЬНАЯ ОБОРОНА</t>
  </si>
  <si>
    <t>МП "Обеспечение и совершенствование деятельности администрации Няндомского муниципального округа"</t>
  </si>
  <si>
    <t>МП "Совершенствование муниципального управления в администрации Няндомского муниципального округа"</t>
  </si>
  <si>
    <t>01 0 00 78630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</si>
  <si>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</si>
  <si>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01 0 00 S6450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</si>
  <si>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</si>
  <si>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МП «Развитие сферы культуры и туризма на территории Няндомского муниципального округа»</t>
  </si>
  <si>
    <t>Подпрограмма «Развитие культуры на территории Няндомского муниципального округа»</t>
  </si>
  <si>
    <t>Субсидия на обеспечение учреждений культуры специализированным автотранспортом для обслуживания населения, в том числе сельского населения</t>
  </si>
  <si>
    <t>13 1 00 55193</t>
  </si>
  <si>
    <t>Субсидия на государственную поддержку отрасли культуры (реализация мероприятий по модернизации библиотек в части комплектования книжных фондов муниципальных библиотек)</t>
  </si>
  <si>
    <t>13 1 00 S6820</t>
  </si>
  <si>
    <t>Субсидия на комплектование книжных фондов библиотек муниципальных образований Архангельской области и подписка на периодическую печать</t>
  </si>
  <si>
    <t>Иной межбюджетный трансферт на реализацию мероприятий по социально-экономическому развитию муниципальных округов</t>
  </si>
  <si>
    <t>МП "Профилактика  безнадзорности и правонарушений несовершеннолетних на территории Няндомского муниципального округа"</t>
  </si>
  <si>
    <t>МП «Обеспечение безопасности населения Няндомского муниципального округа»</t>
  </si>
  <si>
    <t>МП «Управление муниципальными финансами и муниципальным долгом Няндомского муниципального округа"</t>
  </si>
  <si>
    <t>МП "Обеспечение и совершенствование деятельности  Управления социальной политики администрации  Няндомского муниципального округа"</t>
  </si>
  <si>
    <t xml:space="preserve"> МП "Профилактика правонарушений и противодействие преступности на территории Няндомского муниципального округа" </t>
  </si>
  <si>
    <t>МП "Обеспечение и совершенствование деятельности Управления строительства, архитектуры и жилищно-коммунального хозяйства администрации Няндомского муниципального округа"</t>
  </si>
  <si>
    <t>МП «Обеспечение безопасности населения Няндомского муниципального округа"</t>
  </si>
  <si>
    <t>МП "Профилактика безнадзорности и правонарушений несовершеннолетних на территории  Няндомского муниципального округа"</t>
  </si>
  <si>
    <t xml:space="preserve">МП «Управление муниципальными финансами и муниципальным долгом Няндомского муниципального округа» </t>
  </si>
  <si>
    <t>07 0 00 S8590</t>
  </si>
  <si>
    <t>Обеспечение социально значимых объектов муниципальной собственности муниципальных образований Архангельской области резервными источниками снабжения электрической энергии</t>
  </si>
  <si>
    <t>07 0 00 S3730</t>
  </si>
  <si>
    <t>Разработка проектно-сметной документации на строительство и реконструкцию (модернизацию) объектов водоотведения</t>
  </si>
  <si>
    <t>12 0 00 S8270</t>
  </si>
  <si>
    <t>Создание условий для обеспечения поселений и жителей муниципальных и городских округов услугами торговли</t>
  </si>
  <si>
    <t>13 2 00 S8360</t>
  </si>
  <si>
    <t>Общественно значимые культурные мероприятия в рамках проекта "ЛЮБО-ДОРОГО"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</si>
  <si>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</si>
  <si>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>15 0 00 S6670</t>
  </si>
  <si>
    <t>16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</si>
  <si>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</si>
  <si>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Другие вопросы в области охраны окружающей среды</t>
  </si>
  <si>
    <t>Охрана окружающей среды</t>
  </si>
  <si>
    <t>21 0 00 43500</t>
  </si>
  <si>
    <t>24 0 00 00000</t>
  </si>
  <si>
    <t>МП «Комплексное развитие сельских территорий Няндомского муниципального округа»</t>
  </si>
  <si>
    <t>Подпрограмма "Создание и развитие инфраструктуры на сельских территориях"</t>
  </si>
  <si>
    <t xml:space="preserve"> Подпрограмма "Развитие туризма на территории Няндомского муниципального округа"</t>
  </si>
  <si>
    <t>Подпрограмма «Нормативно-методическое и информационное обеспечение и организация бюджетного процесса Няндомского муниципального округа"</t>
  </si>
  <si>
    <t>Подпрограмма «Управление муниципальным долгом Няндомского муниципального округа»</t>
  </si>
  <si>
    <t>70 0 00 78160</t>
  </si>
  <si>
    <t>Администрация Няндомского муниципального округа Архангельской области</t>
  </si>
  <si>
    <t>Управление финансов администрации Няндомского муниципального округа Архангельской области</t>
  </si>
  <si>
    <t>Собрание депутатов Няндомского муниципального округа Архангельской области</t>
  </si>
  <si>
    <t>Обеспечение деятельности Собрания депутатов Няндомского муниципального округа Архангельской области</t>
  </si>
  <si>
    <t>Управление образования  администрации Няндомского муниципального округа Архангельской области</t>
  </si>
  <si>
    <t>Управление социальной политики администрации Няндомского муниципального округа Архангелськой области</t>
  </si>
  <si>
    <t>Отдел опеки и попечительства администрации Няндомского муниципального округа Архангельской области</t>
  </si>
  <si>
    <t>Комитет по управлению муниципальным имуществом и земельными ресурсами администрации Няндомского муниципального округа Архангельской области</t>
  </si>
  <si>
    <t>Контрольно-счётная палата Няндомского муниципального округа Архангельской области</t>
  </si>
  <si>
    <t>Обеспечение деятельности контрольно-счетной палаты Няндомского муниципального округа Архангельской области</t>
  </si>
  <si>
    <t>Контрольно-счетная палата Няндомского муниципального округа Архангельской области</t>
  </si>
  <si>
    <t>Обеспечение деятельности Собрания депутатов Няндомского округа Архангельской области</t>
  </si>
  <si>
    <t>Подпрограмма "Развитие территориального общественного самоуправления в Няндомском муниципальном округе"</t>
  </si>
  <si>
    <t>Подпрограмма "Поддержка гражданских инициатив и социально ориентированных некоммерческих организаций в Няндомском муниципальном округе"</t>
  </si>
  <si>
    <t>Подпрограмма "Мир и согласие. Новые возможности"</t>
  </si>
  <si>
    <t>Подпрограмма  "Старшее поколение"</t>
  </si>
  <si>
    <t>03 2 00 47010</t>
  </si>
  <si>
    <t>МП "Развитие сельского хозяйства на территории  Няндомского  муниципального округа"</t>
  </si>
  <si>
    <t>МП "Комплексное развитие сельских территорий Няндомского мунципального округа"</t>
  </si>
  <si>
    <t>Подпрограмма "Развитие туризма на территории Няндомского муниципального округа"</t>
  </si>
  <si>
    <t xml:space="preserve">МП  "Благоустройство территории Няндомского муниципального округа" </t>
  </si>
  <si>
    <t xml:space="preserve">МП «Энергосбережение и повышение энергетической эффективности на территории Няндомского  муниципального округа» </t>
  </si>
  <si>
    <t xml:space="preserve">Мероприятия в сфере энергосбережения и повышения энергетической эффективности </t>
  </si>
  <si>
    <t>МП «Развитие транспортной системы Няндомского муниципального округа»</t>
  </si>
  <si>
    <t>Подпрограмма "Развитие дошкольного образования  на территории  Няндомского муниципального округа»"</t>
  </si>
  <si>
    <t>Подпрограмма "Развитие общего образования на территории  Няндомского муниципального округа"</t>
  </si>
  <si>
    <t>Подпрограмма "Развитие дошкольного образования  на территории  Няндомского муниципального округа"</t>
  </si>
  <si>
    <t>Муниципальная программа "Развитие  образования  на территории  Няндомского муниципального округа"</t>
  </si>
  <si>
    <t>МП "Развитие  образования  на территории  Няндомского муниципального округа"</t>
  </si>
  <si>
    <t>Подпрограмма "Развитие  дополнительного образования детей  на территории  Няндомского муниципального округа"</t>
  </si>
  <si>
    <t>Подпрограмма "Обеспечение функционирования и развития системы образования на территории  Няндомского муниципального округа"</t>
  </si>
  <si>
    <t>Подпрограмма "Развитие физической культуры и спорта в   Няндомском муниципальном округе"</t>
  </si>
  <si>
    <t>МП "Молодежь  Няндомского муниципального округа"</t>
  </si>
  <si>
    <t>Подпрограмма "Развитие и укрепление материально-технической базы детского загородного оздоровительного лагеря "Боровое"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</si>
  <si>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</si>
  <si>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Государственная поддержка спортивных организаций, осуществляющих подготовку спортивного резерва для спортивных сборных команд , в том числе  спортивных сборных команд Российской Федерации</t>
  </si>
  <si>
    <t>14 0 00 44090</t>
  </si>
  <si>
    <t>Реализация мероприятий по содействию трудоустройству несовершеннолетних граждан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</si>
  <si>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</si>
  <si>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11 2 0052290</t>
  </si>
  <si>
    <t>Мероприятия в сфере физической культуры и спорта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</si>
  <si>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</si>
  <si>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13 3 00 S6620</t>
  </si>
  <si>
    <t>Ремонт зданий муниципальных учреждений культуры</t>
  </si>
  <si>
    <t>13 3 00 S6810</t>
  </si>
  <si>
    <t>Реализация федеральной целевой программы "Увековечение памяти погибших при защите Отечества на 2019 – 2024 годы"</t>
  </si>
  <si>
    <t>14 0 00 L2990</t>
  </si>
  <si>
    <t xml:space="preserve">Подпрограмма «Противодействие идеологии экстремизма, предупреждение терроризма» </t>
  </si>
  <si>
    <t>0 92 00 00000</t>
  </si>
  <si>
    <t>09 2 00 41510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</si>
  <si>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</si>
  <si>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"Пожарная безопасность"</t>
  </si>
  <si>
    <t>Мероприятия в сфере обеспечения пожарной безопасности</t>
  </si>
  <si>
    <t>Оборудование источников наружного противопожарного водоснабжения</t>
  </si>
  <si>
    <t>Приобретение и установка автономных дымовых пожарных извещателей</t>
  </si>
  <si>
    <t>09 3 00 00000</t>
  </si>
  <si>
    <t>09 3 00 41520</t>
  </si>
  <si>
    <t>09 3 00 S6630</t>
  </si>
  <si>
    <t>09 3 00 S6870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</si>
  <si>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</si>
  <si>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08 0 00 S4650</t>
  </si>
  <si>
    <t>Организация материально-технического стимулирования и страхования участников добровольных народных дружин</t>
  </si>
  <si>
    <t>08 0 00 S8140</t>
  </si>
  <si>
    <t>МП "Укрепление общественного здоровья населения на территории Няндомского муниципального округа"</t>
  </si>
  <si>
    <t>МП«Совершенствование муниципального управления в администрации Няндомского муниципального округа»</t>
  </si>
  <si>
    <t>МП «Укрепление общественного здоровья населения на территории Няндомского муниципального округа»</t>
  </si>
  <si>
    <t>02 1 00 43570</t>
  </si>
  <si>
    <t>Реализация мероприятий по модернизации системы дошкольного образования</t>
  </si>
  <si>
    <t>02 1 00 S4690</t>
  </si>
  <si>
    <t>Субсидия на государственную поддержку лучших сельских учреждений культуры</t>
  </si>
  <si>
    <t>13 1 00 55196</t>
  </si>
  <si>
    <t>13 1 00 55194</t>
  </si>
  <si>
    <t>Субсидия на государственную поддержку лучших работников сельских учреждений культуры</t>
  </si>
  <si>
    <t>Подпрограмма "Проведение капитального ремонта муниципального жилого фонда в Няндомском муниципальном округе"</t>
  </si>
  <si>
    <t>16 0 00 43580</t>
  </si>
  <si>
    <t>Содержание, ремонт и оплата услуг уличного освещения</t>
  </si>
  <si>
    <t>МП  "Формирование современной городской среды на территории Няндомского муниципального  округа"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</si>
  <si>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</si>
  <si>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02 1 00 S6960</t>
  </si>
  <si>
    <t>Фонд оплаты труда казенных учреждений</t>
  </si>
  <si>
    <t>830</t>
  </si>
  <si>
    <t>11 2 00 40990</t>
  </si>
  <si>
    <t>11 2 00 43570</t>
  </si>
  <si>
    <t>МП "Развитие физической культуры, спорта и создание условий для формирования здорового образа жизни на территории Няндомского муниципального округа"</t>
  </si>
  <si>
    <t>МП "Развитие физической культуры, спорта и создание условий для формирования здорового образа жизни на территории Няндомског омуниципального округа"</t>
  </si>
  <si>
    <t>02 2 00 50970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</si>
  <si>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</si>
  <si>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некоммерческим организациям (за исключением государственных (муниципальных) учреждений)</t>
  </si>
  <si>
    <t>02 3 00 40990</t>
  </si>
  <si>
    <t>02 3 00 S6960</t>
  </si>
  <si>
    <t>70 0 00 41500</t>
  </si>
  <si>
    <t>Управление строительства, архитектуры и ЖКХ  администрации Няндомского муниципального округа Архангельской области</t>
  </si>
  <si>
    <t>09 2 00 00000</t>
  </si>
  <si>
    <t>09 1 00 41510</t>
  </si>
  <si>
    <t>адм</t>
  </si>
  <si>
    <t>УФ</t>
  </si>
  <si>
    <t>СД</t>
  </si>
  <si>
    <t>УО</t>
  </si>
  <si>
    <t>УСП</t>
  </si>
  <si>
    <t>КУМИ</t>
  </si>
  <si>
    <t>КСП</t>
  </si>
  <si>
    <t>УСА</t>
  </si>
  <si>
    <t>Спорт высших достижений</t>
  </si>
  <si>
    <t>13 1 00 44060</t>
  </si>
  <si>
    <t>51 0 00 43560</t>
  </si>
  <si>
    <t>02 2 00 44010</t>
  </si>
  <si>
    <t>Мероприятия в области образования</t>
  </si>
  <si>
    <t>Резервный фонд администрации Няндомского муниципального округа Архангельской области</t>
  </si>
  <si>
    <t>Реализация подпрограммы муниципальной программы, непрограммных направлений расходов  бюджета округа</t>
  </si>
  <si>
    <t>Реализация подпрограммы муниципальной программы, непрограммных направлений расходов бюджета округа</t>
  </si>
  <si>
    <t>28 0 00 47030</t>
  </si>
  <si>
    <t xml:space="preserve">Выплата компенсации на оплату проезда к месту лечение (получения консультации) и обратно гражданам, страдающим онкологическими заболеваниями </t>
  </si>
  <si>
    <t>Развитие территориального общественного самоуправления Няндомского округа</t>
  </si>
  <si>
    <t>18 1 00 41190</t>
  </si>
  <si>
    <t>Реализация подпрограммы муниципальной программы, непрограммных направлений расходов бюджета</t>
  </si>
  <si>
    <t>19 0 00 40030</t>
  </si>
  <si>
    <t>Зарезервированные средства на повышение тарифов на коммунальные услуги</t>
  </si>
  <si>
    <t>Председатель Собрания депутатов Няндомского муниципального округа Архангельской области</t>
  </si>
  <si>
    <t>62 2 00 00000</t>
  </si>
  <si>
    <t>62 2 00 40010</t>
  </si>
  <si>
    <t>62 2 00 40480</t>
  </si>
  <si>
    <t>Председатель контрольно-счетной палаты Няндомского муниципального округа Архангельской области</t>
  </si>
  <si>
    <t>64 2 00 00000</t>
  </si>
  <si>
    <t>64 2 00 40010</t>
  </si>
  <si>
    <t>Мероприятия в сфере гражданской обороны и защиты населения и территорий Няндомского округа от чрезвычайных ситуаций, осуществляемые органами местного самоуправления</t>
  </si>
  <si>
    <t>МП  «Обеспечение и совершенствование деятельности  Управления социальной политики администрации  Няндомского муниципального округа"</t>
  </si>
  <si>
    <t>21 0 00 S8400</t>
  </si>
  <si>
    <t xml:space="preserve"> Мероприятия в сфере гражданской обороны и защиты населения и территорий Няндомского округа от чрезвычайных ситуаций, осуществляемые органами местного самоуправления</t>
  </si>
  <si>
    <t>24 2 00 L576Ф</t>
  </si>
  <si>
    <t>Капитальный ремонт здания Краеведческого центра "Дом Няна", структурного подразделения МБУК "НРЦКС", расположенного по адресу : Архангельская область, г. Няндома, ул. Севастьянова, д.30</t>
  </si>
  <si>
    <t>21 0 00 78770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</si>
  <si>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</si>
  <si>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24 2 00 L576D</t>
  </si>
  <si>
    <t>Обеспечение комплексного развития сельских территорий (строительство линейного объекта "Уличное освещение дер. Андреевская с применением энергосберегающих технологий")</t>
  </si>
  <si>
    <t>24 2 00 L576Э</t>
  </si>
  <si>
    <t>Обеспечение комплексного развития сельских территорий (строительство линейного объекта "Уличное освещение ж/д ст. Полоха с применением энергосберегающих технологий")</t>
  </si>
  <si>
    <t>24 2 00 L576Ю</t>
  </si>
  <si>
    <t>Обеспечение комплексного развития сельских территорий (строительство линейного объекта "Уличное освещение ж/д ст. Зеленый с применением энергосберегающих технологий")</t>
  </si>
  <si>
    <t>24 2 00 L576Я</t>
  </si>
  <si>
    <t>Обеспечение комплексного развития сельских территорий (строительство линейного объекта "Уличное освещение ж/д ст. Бурачиха с применением энергосберегающих технологий")</t>
  </si>
  <si>
    <t>24 2 00 L576G</t>
  </si>
  <si>
    <t>Обеспечение комплексного развития сельских территорий (строительство линейного объекта "Уличное освещение пос. Шестиозерский с применением энергосберегающих технологий")</t>
  </si>
  <si>
    <t>24 2 00 L576Ч</t>
  </si>
  <si>
    <t>Капитальный ремонт здания МБУК "НЦРБ", расположенного по адресу: Архангельская область, г.Няндома, ул. Карла Маркса, д.7</t>
  </si>
  <si>
    <t>24 2 00 L576Т</t>
  </si>
  <si>
    <t>24 2 00 L576У</t>
  </si>
  <si>
    <t>Капитальный ремонт здания МБУК "НРЦКС", расположенного по адресу: Архангельская область, г. Няндома, ул. Ленина, д.49</t>
  </si>
  <si>
    <t>Капитальный ремонт здания дома культуры "Заря" (кинотеатр) МБУК "НРЦКС", расположенного по адресу: Архангельская область, г. Няндома, ул. Советская, д.18</t>
  </si>
  <si>
    <t>11 2 00 44080</t>
  </si>
  <si>
    <t>24 2 00 L576Ш</t>
  </si>
  <si>
    <t>Обеспечение комплексного развития сельских территорий(Капитальный ремонт фойе с лестницами, крыльца главного входа и кровли здания РЦДО, расположенного по адресу: г. Няндома, ул. 60 лет Октября, д. 14)</t>
  </si>
  <si>
    <t>13 2 00 S6500</t>
  </si>
  <si>
    <t>Обеспечение учреждений культуры автотранспортом</t>
  </si>
  <si>
    <t xml:space="preserve">                                                                                             от 19 декабря 2022 года № 22</t>
  </si>
  <si>
    <t>от 19 декабря 2022 года № 22</t>
  </si>
  <si>
    <t xml:space="preserve">                                                                                   " ПРИЛОЖЕНИЕ  5</t>
  </si>
  <si>
    <t>"</t>
  </si>
  <si>
    <t>Проект,                                     тыс. рублей</t>
  </si>
  <si>
    <t>Утверждено,                                     тыс. рублей</t>
  </si>
  <si>
    <t>Отклонение,                                     тыс. рублей</t>
  </si>
  <si>
    <t>5</t>
  </si>
  <si>
    <t>6</t>
  </si>
  <si>
    <t>"ПРИЛОЖЕНИЕ 7</t>
  </si>
  <si>
    <t>8</t>
  </si>
  <si>
    <t>9</t>
  </si>
  <si>
    <t>"ПРИЛОЖЕНИЕ 9</t>
  </si>
  <si>
    <t>утв</t>
  </si>
  <si>
    <t>проект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</si>
  <si>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</si>
  <si>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02 1 00 74660</t>
  </si>
  <si>
    <t>02 2 00 74660</t>
  </si>
  <si>
    <t>07 0 00 43560</t>
  </si>
  <si>
    <t>07 0 00 S6640</t>
  </si>
  <si>
    <t>Разработка пректно-сметной документации для строительства и реконструкции (модернизации) объектов питьевого водоснабжения</t>
  </si>
  <si>
    <t>24 2 00 40300</t>
  </si>
  <si>
    <t xml:space="preserve">Строительство и реконструкция объектов капитального строительства муниципальной собственности </t>
  </si>
  <si>
    <t>24 2 00 40320</t>
  </si>
  <si>
    <t>Разработка проектно-сметной документации</t>
  </si>
  <si>
    <t>07 0 00 52430</t>
  </si>
  <si>
    <t xml:space="preserve">Строительство и реконструкция (модернизация) объектов питьевого водоснабжения 
</t>
  </si>
  <si>
    <t>ПРИЛОЖЕНИЕ  7</t>
  </si>
  <si>
    <t>Пояснительная к ПРИЛОЖЕНИЮ 7</t>
  </si>
  <si>
    <t>02 3 00 44040</t>
  </si>
  <si>
    <t>Капитальный ремонт зданий бюджетных и автономных учреждений</t>
  </si>
  <si>
    <t xml:space="preserve">                                                                                             от __________2023 года № ___</t>
  </si>
  <si>
    <t>от _____________ 2023 года № ___</t>
  </si>
  <si>
    <t>от __________ 2023 года № ___</t>
  </si>
  <si>
    <t>02 1 00 74690</t>
  </si>
  <si>
    <t>Кузьминская</t>
  </si>
  <si>
    <t>Дружба</t>
  </si>
  <si>
    <t>пенсии</t>
  </si>
  <si>
    <t>Шадакушская школа</t>
  </si>
  <si>
    <t>ПСД вода Няндома</t>
  </si>
  <si>
    <t>Другие вопросы в области жилищно-коммунального хозяйства</t>
  </si>
  <si>
    <t>24 1 00 40320</t>
  </si>
  <si>
    <t>Подпрограмма "Создание условий для обеспечения доступным и комфортным жильем сельского населения"</t>
  </si>
  <si>
    <t>02 3 00 44020</t>
  </si>
  <si>
    <t>поиск отр</t>
  </si>
  <si>
    <t>на мтб сп шк</t>
  </si>
  <si>
    <t>муниципальный долг с УФ</t>
  </si>
  <si>
    <t>муниципальный долг с адм</t>
  </si>
  <si>
    <t>дизайн-проект ЦБ</t>
  </si>
  <si>
    <t>автоклубы</t>
  </si>
  <si>
    <t xml:space="preserve">                                                                                    ПРИЛОЖЕНИЕ  3</t>
  </si>
  <si>
    <t xml:space="preserve">                                                                                   Пояснительная к ПРИЛОЖЕНИЮ   3</t>
  </si>
  <si>
    <t>ПРИЛОЖЕНИЕ  5</t>
  </si>
  <si>
    <t>Пояснительная к ПРИЛОЖЕНИЮ 5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</si>
</sst>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  <numFmt numFmtId="198" formatCode="#,##0.00&quot;р.&quot;"/>
    <numFmt numFmtId="199" formatCode="#,##0.00_р_.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64" fillId="33" borderId="0" xfId="0" applyFont="1" applyFill="1" applyAlignment="1">
      <alignment/>
    </xf>
    <xf numFmtId="185" fontId="64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68" fillId="33" borderId="0" xfId="0" applyFont="1" applyFill="1" applyBorder="1" applyAlignment="1">
      <alignment horizontal="left" vertical="center" wrapText="1"/>
    </xf>
    <xf numFmtId="0" fontId="64" fillId="33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7" fillId="0" borderId="0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9" fillId="33" borderId="0" xfId="0" applyFont="1" applyFill="1" applyAlignment="1">
      <alignment/>
    </xf>
    <xf numFmtId="185" fontId="67" fillId="33" borderId="0" xfId="0" applyNumberFormat="1" applyFont="1" applyFill="1" applyAlignment="1">
      <alignment/>
    </xf>
    <xf numFmtId="0" fontId="66" fillId="33" borderId="0" xfId="0" applyFont="1" applyFill="1" applyBorder="1" applyAlignment="1">
      <alignment/>
    </xf>
    <xf numFmtId="0" fontId="64" fillId="34" borderId="0" xfId="0" applyFont="1" applyFill="1" applyAlignment="1">
      <alignment/>
    </xf>
    <xf numFmtId="0" fontId="68" fillId="33" borderId="10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wrapText="1"/>
    </xf>
    <xf numFmtId="49" fontId="6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left"/>
    </xf>
    <xf numFmtId="49" fontId="12" fillId="33" borderId="12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185" fontId="6" fillId="33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5" fontId="5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wrapText="1"/>
    </xf>
    <xf numFmtId="0" fontId="9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185" fontId="6" fillId="33" borderId="12" xfId="0" applyNumberFormat="1" applyFont="1" applyFill="1" applyBorder="1" applyAlignment="1">
      <alignment horizontal="right"/>
    </xf>
    <xf numFmtId="49" fontId="5" fillId="33" borderId="12" xfId="0" applyNumberFormat="1" applyFont="1" applyFill="1" applyBorder="1" applyAlignment="1">
      <alignment horizontal="right"/>
    </xf>
    <xf numFmtId="185" fontId="5" fillId="33" borderId="12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horizontal="left" vertical="center" wrapText="1"/>
    </xf>
    <xf numFmtId="185" fontId="5" fillId="33" borderId="12" xfId="0" applyNumberFormat="1" applyFont="1" applyFill="1" applyBorder="1" applyAlignment="1">
      <alignment/>
    </xf>
    <xf numFmtId="0" fontId="10" fillId="33" borderId="12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12" xfId="0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10" fillId="33" borderId="0" xfId="0" applyFont="1" applyFill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/>
    </xf>
    <xf numFmtId="49" fontId="14" fillId="0" borderId="15" xfId="0" applyNumberFormat="1" applyFont="1" applyFill="1" applyBorder="1" applyAlignment="1">
      <alignment/>
    </xf>
    <xf numFmtId="49" fontId="15" fillId="33" borderId="12" xfId="0" applyNumberFormat="1" applyFont="1" applyFill="1" applyBorder="1" applyAlignment="1">
      <alignment horizontal="left"/>
    </xf>
    <xf numFmtId="2" fontId="6" fillId="33" borderId="12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185" fontId="67" fillId="33" borderId="0" xfId="0" applyNumberFormat="1" applyFont="1" applyFill="1" applyBorder="1" applyAlignment="1">
      <alignment/>
    </xf>
    <xf numFmtId="185" fontId="6" fillId="33" borderId="11" xfId="0" applyNumberFormat="1" applyFont="1" applyFill="1" applyBorder="1" applyAlignment="1">
      <alignment/>
    </xf>
    <xf numFmtId="185" fontId="5" fillId="33" borderId="13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/>
    </xf>
    <xf numFmtId="185" fontId="6" fillId="33" borderId="16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left"/>
    </xf>
    <xf numFmtId="0" fontId="9" fillId="2" borderId="12" xfId="0" applyFont="1" applyFill="1" applyBorder="1" applyAlignment="1">
      <alignment wrapText="1"/>
    </xf>
    <xf numFmtId="49" fontId="12" fillId="33" borderId="18" xfId="0" applyNumberFormat="1" applyFont="1" applyFill="1" applyBorder="1" applyAlignment="1">
      <alignment horizontal="left"/>
    </xf>
    <xf numFmtId="49" fontId="13" fillId="35" borderId="12" xfId="0" applyNumberFormat="1" applyFont="1" applyFill="1" applyBorder="1" applyAlignment="1">
      <alignment horizontal="left"/>
    </xf>
    <xf numFmtId="0" fontId="67" fillId="33" borderId="19" xfId="0" applyFont="1" applyFill="1" applyBorder="1" applyAlignment="1">
      <alignment/>
    </xf>
    <xf numFmtId="0" fontId="64" fillId="33" borderId="20" xfId="0" applyFont="1" applyFill="1" applyBorder="1" applyAlignment="1">
      <alignment/>
    </xf>
    <xf numFmtId="0" fontId="10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 wrapText="1"/>
    </xf>
    <xf numFmtId="49" fontId="10" fillId="33" borderId="12" xfId="0" applyNumberFormat="1" applyFont="1" applyFill="1" applyBorder="1" applyAlignment="1">
      <alignment horizontal="right"/>
    </xf>
    <xf numFmtId="0" fontId="64" fillId="33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wrapText="1"/>
    </xf>
    <xf numFmtId="0" fontId="9" fillId="2" borderId="10" xfId="0" applyFont="1" applyFill="1" applyBorder="1" applyAlignment="1">
      <alignment horizontal="left" vertical="center" wrapText="1"/>
    </xf>
    <xf numFmtId="49" fontId="9" fillId="2" borderId="12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wrapText="1"/>
    </xf>
    <xf numFmtId="49" fontId="9" fillId="2" borderId="12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justify" wrapText="1"/>
    </xf>
    <xf numFmtId="0" fontId="9" fillId="33" borderId="14" xfId="0" applyFont="1" applyFill="1" applyBorder="1" applyAlignment="1">
      <alignment wrapText="1"/>
    </xf>
    <xf numFmtId="0" fontId="10" fillId="0" borderId="12" xfId="0" applyFont="1" applyFill="1" applyBorder="1" applyAlignment="1">
      <alignment horizontal="justify" wrapText="1"/>
    </xf>
    <xf numFmtId="49" fontId="9" fillId="2" borderId="16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wrapText="1"/>
    </xf>
    <xf numFmtId="197" fontId="10" fillId="33" borderId="12" xfId="54" applyNumberFormat="1" applyFont="1" applyFill="1" applyBorder="1" applyAlignment="1" applyProtection="1">
      <alignment horizontal="left" wrapText="1"/>
      <protection hidden="1"/>
    </xf>
    <xf numFmtId="0" fontId="10" fillId="33" borderId="15" xfId="0" applyFont="1" applyFill="1" applyBorder="1" applyAlignment="1">
      <alignment wrapText="1"/>
    </xf>
    <xf numFmtId="170" fontId="10" fillId="33" borderId="15" xfId="43" applyFont="1" applyFill="1" applyBorder="1" applyAlignment="1">
      <alignment wrapText="1"/>
    </xf>
    <xf numFmtId="170" fontId="10" fillId="33" borderId="12" xfId="43" applyFont="1" applyFill="1" applyBorder="1" applyAlignment="1">
      <alignment horizontal="center"/>
    </xf>
    <xf numFmtId="170" fontId="64" fillId="33" borderId="0" xfId="43" applyFont="1" applyFill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top" wrapText="1"/>
    </xf>
    <xf numFmtId="0" fontId="5" fillId="33" borderId="16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185" fontId="5" fillId="33" borderId="21" xfId="0" applyNumberFormat="1" applyFont="1" applyFill="1" applyBorder="1" applyAlignment="1">
      <alignment/>
    </xf>
    <xf numFmtId="0" fontId="10" fillId="33" borderId="12" xfId="0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vertical="top" wrapText="1"/>
    </xf>
    <xf numFmtId="49" fontId="10" fillId="33" borderId="16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right"/>
    </xf>
    <xf numFmtId="49" fontId="14" fillId="33" borderId="12" xfId="0" applyNumberFormat="1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5" fillId="35" borderId="12" xfId="0" applyNumberFormat="1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185" fontId="9" fillId="2" borderId="12" xfId="0" applyNumberFormat="1" applyFont="1" applyFill="1" applyBorder="1" applyAlignment="1">
      <alignment/>
    </xf>
    <xf numFmtId="185" fontId="10" fillId="33" borderId="12" xfId="0" applyNumberFormat="1" applyFont="1" applyFill="1" applyBorder="1" applyAlignment="1">
      <alignment/>
    </xf>
    <xf numFmtId="185" fontId="10" fillId="33" borderId="13" xfId="0" applyNumberFormat="1" applyFont="1" applyFill="1" applyBorder="1" applyAlignment="1">
      <alignment/>
    </xf>
    <xf numFmtId="185" fontId="10" fillId="33" borderId="10" xfId="0" applyNumberFormat="1" applyFont="1" applyFill="1" applyBorder="1" applyAlignment="1">
      <alignment/>
    </xf>
    <xf numFmtId="185" fontId="9" fillId="2" borderId="16" xfId="0" applyNumberFormat="1" applyFont="1" applyFill="1" applyBorder="1" applyAlignment="1">
      <alignment horizontal="right"/>
    </xf>
    <xf numFmtId="185" fontId="9" fillId="33" borderId="12" xfId="0" applyNumberFormat="1" applyFont="1" applyFill="1" applyBorder="1" applyAlignment="1">
      <alignment horizontal="right"/>
    </xf>
    <xf numFmtId="185" fontId="10" fillId="33" borderId="12" xfId="0" applyNumberFormat="1" applyFont="1" applyFill="1" applyBorder="1" applyAlignment="1">
      <alignment horizontal="right"/>
    </xf>
    <xf numFmtId="185" fontId="9" fillId="33" borderId="12" xfId="0" applyNumberFormat="1" applyFont="1" applyFill="1" applyBorder="1" applyAlignment="1">
      <alignment/>
    </xf>
    <xf numFmtId="185" fontId="10" fillId="0" borderId="12" xfId="0" applyNumberFormat="1" applyFont="1" applyFill="1" applyBorder="1" applyAlignment="1">
      <alignment/>
    </xf>
    <xf numFmtId="185" fontId="10" fillId="33" borderId="12" xfId="0" applyNumberFormat="1" applyFont="1" applyFill="1" applyBorder="1" applyAlignment="1">
      <alignment/>
    </xf>
    <xf numFmtId="185" fontId="10" fillId="33" borderId="12" xfId="0" applyNumberFormat="1" applyFont="1" applyFill="1" applyBorder="1" applyAlignment="1">
      <alignment horizontal="right" vertical="center"/>
    </xf>
    <xf numFmtId="185" fontId="9" fillId="2" borderId="12" xfId="0" applyNumberFormat="1" applyFont="1" applyFill="1" applyBorder="1" applyAlignment="1">
      <alignment/>
    </xf>
    <xf numFmtId="185" fontId="9" fillId="33" borderId="12" xfId="0" applyNumberFormat="1" applyFont="1" applyFill="1" applyBorder="1" applyAlignment="1">
      <alignment/>
    </xf>
    <xf numFmtId="185" fontId="10" fillId="33" borderId="12" xfId="0" applyNumberFormat="1" applyFont="1" applyFill="1" applyBorder="1" applyAlignment="1">
      <alignment horizontal="right" vertical="center" wrapText="1"/>
    </xf>
    <xf numFmtId="185" fontId="10" fillId="33" borderId="12" xfId="0" applyNumberFormat="1" applyFont="1" applyFill="1" applyBorder="1" applyAlignment="1">
      <alignment horizontal="right" vertical="top" wrapText="1"/>
    </xf>
    <xf numFmtId="190" fontId="10" fillId="33" borderId="12" xfId="43" applyNumberFormat="1" applyFont="1" applyFill="1" applyBorder="1" applyAlignment="1">
      <alignment/>
    </xf>
    <xf numFmtId="185" fontId="9" fillId="2" borderId="12" xfId="0" applyNumberFormat="1" applyFont="1" applyFill="1" applyBorder="1" applyAlignment="1">
      <alignment horizontal="right"/>
    </xf>
    <xf numFmtId="185" fontId="9" fillId="33" borderId="11" xfId="0" applyNumberFormat="1" applyFont="1" applyFill="1" applyBorder="1" applyAlignment="1">
      <alignment/>
    </xf>
    <xf numFmtId="190" fontId="10" fillId="0" borderId="0" xfId="62" applyNumberFormat="1" applyFont="1" applyFill="1" applyAlignment="1">
      <alignment/>
    </xf>
    <xf numFmtId="187" fontId="10" fillId="0" borderId="0" xfId="0" applyNumberFormat="1" applyFont="1" applyFill="1" applyBorder="1" applyAlignment="1">
      <alignment/>
    </xf>
    <xf numFmtId="187" fontId="8" fillId="0" borderId="0" xfId="0" applyNumberFormat="1" applyFont="1" applyFill="1" applyBorder="1" applyAlignment="1">
      <alignment/>
    </xf>
    <xf numFmtId="187" fontId="8" fillId="0" borderId="0" xfId="0" applyNumberFormat="1" applyFont="1" applyFill="1" applyAlignment="1">
      <alignment/>
    </xf>
    <xf numFmtId="49" fontId="14" fillId="35" borderId="17" xfId="0" applyNumberFormat="1" applyFont="1" applyFill="1" applyBorder="1" applyAlignment="1">
      <alignment/>
    </xf>
    <xf numFmtId="0" fontId="14" fillId="35" borderId="17" xfId="0" applyNumberFormat="1" applyFont="1" applyFill="1" applyBorder="1" applyAlignment="1">
      <alignment horizontal="center"/>
    </xf>
    <xf numFmtId="49" fontId="5" fillId="35" borderId="12" xfId="0" applyNumberFormat="1" applyFont="1" applyFill="1" applyBorder="1" applyAlignment="1">
      <alignment wrapText="1"/>
    </xf>
    <xf numFmtId="0" fontId="5" fillId="35" borderId="12" xfId="0" applyNumberFormat="1" applyFont="1" applyFill="1" applyBorder="1" applyAlignment="1">
      <alignment horizontal="center" wrapText="1"/>
    </xf>
    <xf numFmtId="49" fontId="5" fillId="35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left"/>
    </xf>
    <xf numFmtId="49" fontId="14" fillId="35" borderId="12" xfId="0" applyNumberFormat="1" applyFont="1" applyFill="1" applyBorder="1" applyAlignment="1">
      <alignment/>
    </xf>
    <xf numFmtId="0" fontId="14" fillId="35" borderId="12" xfId="0" applyNumberFormat="1" applyFont="1" applyFill="1" applyBorder="1" applyAlignment="1">
      <alignment horizontal="center"/>
    </xf>
    <xf numFmtId="49" fontId="14" fillId="35" borderId="15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187" fontId="5" fillId="33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/>
    </xf>
    <xf numFmtId="187" fontId="5" fillId="33" borderId="0" xfId="0" applyNumberFormat="1" applyFont="1" applyFill="1" applyAlignment="1">
      <alignment/>
    </xf>
    <xf numFmtId="49" fontId="9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190" fontId="9" fillId="0" borderId="17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/>
    </xf>
    <xf numFmtId="190" fontId="10" fillId="0" borderId="12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center" vertical="center"/>
    </xf>
    <xf numFmtId="190" fontId="9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190" fontId="9" fillId="0" borderId="1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190" fontId="10" fillId="33" borderId="12" xfId="0" applyNumberFormat="1" applyFont="1" applyFill="1" applyBorder="1" applyAlignment="1">
      <alignment horizontal="right" vertical="center"/>
    </xf>
    <xf numFmtId="0" fontId="14" fillId="33" borderId="12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/>
    </xf>
    <xf numFmtId="49" fontId="15" fillId="33" borderId="15" xfId="0" applyNumberFormat="1" applyFont="1" applyFill="1" applyBorder="1" applyAlignment="1">
      <alignment/>
    </xf>
    <xf numFmtId="190" fontId="9" fillId="33" borderId="12" xfId="0" applyNumberFormat="1" applyFont="1" applyFill="1" applyBorder="1" applyAlignment="1">
      <alignment horizontal="right" vertical="center"/>
    </xf>
    <xf numFmtId="0" fontId="13" fillId="35" borderId="17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13" fillId="35" borderId="12" xfId="0" applyFont="1" applyFill="1" applyBorder="1" applyAlignment="1">
      <alignment wrapText="1"/>
    </xf>
    <xf numFmtId="0" fontId="5" fillId="33" borderId="12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justify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33" borderId="12" xfId="0" applyNumberFormat="1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justify"/>
    </xf>
    <xf numFmtId="0" fontId="6" fillId="33" borderId="12" xfId="0" applyFont="1" applyFill="1" applyBorder="1" applyAlignment="1">
      <alignment/>
    </xf>
    <xf numFmtId="0" fontId="5" fillId="0" borderId="12" xfId="0" applyNumberFormat="1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12" xfId="0" applyFont="1" applyFill="1" applyBorder="1" applyAlignment="1">
      <alignment horizontal="left"/>
    </xf>
    <xf numFmtId="197" fontId="5" fillId="33" borderId="12" xfId="54" applyNumberFormat="1" applyFont="1" applyFill="1" applyBorder="1" applyAlignment="1" applyProtection="1">
      <alignment horizontal="left" wrapText="1"/>
      <protection hidden="1"/>
    </xf>
    <xf numFmtId="0" fontId="5" fillId="3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 horizontal="left" wrapText="1"/>
    </xf>
    <xf numFmtId="0" fontId="5" fillId="33" borderId="1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21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/>
    </xf>
    <xf numFmtId="0" fontId="6" fillId="33" borderId="12" xfId="0" applyFont="1" applyFill="1" applyBorder="1" applyAlignment="1">
      <alignment horizontal="left" vertical="top" wrapText="1"/>
    </xf>
    <xf numFmtId="49" fontId="6" fillId="33" borderId="15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wrapText="1"/>
    </xf>
    <xf numFmtId="0" fontId="6" fillId="33" borderId="12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18" fillId="33" borderId="16" xfId="0" applyFont="1" applyFill="1" applyBorder="1" applyAlignment="1">
      <alignment horizontal="left"/>
    </xf>
    <xf numFmtId="0" fontId="18" fillId="33" borderId="16" xfId="0" applyFont="1" applyFill="1" applyBorder="1" applyAlignment="1">
      <alignment/>
    </xf>
    <xf numFmtId="0" fontId="18" fillId="33" borderId="16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/>
    </xf>
    <xf numFmtId="0" fontId="12" fillId="33" borderId="12" xfId="0" applyNumberFormat="1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justify" wrapText="1"/>
    </xf>
    <xf numFmtId="0" fontId="9" fillId="33" borderId="11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/>
    </xf>
    <xf numFmtId="185" fontId="10" fillId="33" borderId="15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185" fontId="69" fillId="33" borderId="0" xfId="0" applyNumberFormat="1" applyFont="1" applyFill="1" applyAlignment="1">
      <alignment/>
    </xf>
    <xf numFmtId="0" fontId="70" fillId="33" borderId="0" xfId="0" applyFont="1" applyFill="1" applyAlignment="1">
      <alignment/>
    </xf>
    <xf numFmtId="0" fontId="70" fillId="0" borderId="0" xfId="0" applyFont="1" applyFill="1" applyAlignment="1">
      <alignment/>
    </xf>
    <xf numFmtId="0" fontId="10" fillId="33" borderId="16" xfId="0" applyNumberFormat="1" applyFont="1" applyFill="1" applyBorder="1" applyAlignment="1">
      <alignment horizontal="center"/>
    </xf>
    <xf numFmtId="0" fontId="5" fillId="33" borderId="10" xfId="53" applyFont="1" applyFill="1" applyBorder="1" applyAlignment="1">
      <alignment horizontal="left" vertical="center" wrapText="1"/>
      <protection/>
    </xf>
    <xf numFmtId="0" fontId="10" fillId="33" borderId="0" xfId="0" applyFont="1" applyFill="1" applyAlignment="1">
      <alignment wrapText="1"/>
    </xf>
    <xf numFmtId="0" fontId="10" fillId="33" borderId="10" xfId="53" applyFont="1" applyFill="1" applyBorder="1" applyAlignment="1">
      <alignment horizontal="left" vertical="center" wrapText="1"/>
      <protection/>
    </xf>
    <xf numFmtId="185" fontId="6" fillId="35" borderId="17" xfId="0" applyNumberFormat="1" applyFont="1" applyFill="1" applyBorder="1" applyAlignment="1">
      <alignment/>
    </xf>
    <xf numFmtId="185" fontId="6" fillId="35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70" fontId="10" fillId="33" borderId="0" xfId="43" applyFont="1" applyFill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185" fontId="5" fillId="33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5" fontId="6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Fill="1" applyAlignment="1">
      <alignment/>
    </xf>
    <xf numFmtId="199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185" fontId="5" fillId="0" borderId="12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199" fontId="18" fillId="33" borderId="0" xfId="0" applyNumberFormat="1" applyFont="1" applyFill="1" applyAlignment="1">
      <alignment/>
    </xf>
    <xf numFmtId="185" fontId="18" fillId="33" borderId="0" xfId="0" applyNumberFormat="1" applyFont="1" applyFill="1" applyAlignment="1">
      <alignment/>
    </xf>
    <xf numFmtId="198" fontId="5" fillId="33" borderId="0" xfId="0" applyNumberFormat="1" applyFont="1" applyFill="1" applyBorder="1" applyAlignment="1">
      <alignment/>
    </xf>
    <xf numFmtId="185" fontId="5" fillId="33" borderId="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3" borderId="20" xfId="0" applyFont="1" applyFill="1" applyBorder="1" applyAlignment="1">
      <alignment/>
    </xf>
    <xf numFmtId="185" fontId="10" fillId="33" borderId="0" xfId="0" applyNumberFormat="1" applyFont="1" applyFill="1" applyAlignment="1">
      <alignment/>
    </xf>
    <xf numFmtId="0" fontId="9" fillId="33" borderId="12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wrapText="1"/>
    </xf>
    <xf numFmtId="49" fontId="10" fillId="2" borderId="21" xfId="0" applyNumberFormat="1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4" fontId="68" fillId="0" borderId="0" xfId="0" applyNumberFormat="1" applyFont="1" applyFill="1" applyAlignment="1">
      <alignment/>
    </xf>
    <xf numFmtId="190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4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85" fontId="69" fillId="33" borderId="12" xfId="0" applyNumberFormat="1" applyFont="1" applyFill="1" applyBorder="1" applyAlignment="1">
      <alignment horizontal="right"/>
    </xf>
    <xf numFmtId="185" fontId="65" fillId="33" borderId="12" xfId="0" applyNumberFormat="1" applyFont="1" applyFill="1" applyBorder="1" applyAlignment="1">
      <alignment horizontal="right"/>
    </xf>
    <xf numFmtId="185" fontId="64" fillId="33" borderId="12" xfId="0" applyNumberFormat="1" applyFont="1" applyFill="1" applyBorder="1" applyAlignment="1">
      <alignment/>
    </xf>
    <xf numFmtId="190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7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6" fillId="33" borderId="0" xfId="53" applyFont="1" applyFill="1" applyAlignment="1">
      <alignment horizontal="center" vertical="center" wrapText="1"/>
      <protection/>
    </xf>
    <xf numFmtId="0" fontId="16" fillId="0" borderId="0" xfId="0" applyFont="1" applyAlignment="1">
      <alignment vertical="top" wrapText="1"/>
    </xf>
    <xf numFmtId="0" fontId="7" fillId="33" borderId="0" xfId="0" applyFont="1" applyFill="1" applyBorder="1" applyAlignment="1">
      <alignment horizontal="right" vertical="top" wrapText="1"/>
    </xf>
    <xf numFmtId="180" fontId="5" fillId="0" borderId="0" xfId="0" applyNumberFormat="1" applyFont="1" applyFill="1" applyAlignment="1">
      <alignment horizontal="center" vertical="center"/>
    </xf>
    <xf numFmtId="190" fontId="5" fillId="0" borderId="0" xfId="0" applyNumberFormat="1" applyFont="1" applyFill="1" applyAlignment="1">
      <alignment/>
    </xf>
    <xf numFmtId="185" fontId="6" fillId="0" borderId="11" xfId="0" applyNumberFormat="1" applyFont="1" applyFill="1" applyBorder="1" applyAlignment="1">
      <alignment/>
    </xf>
    <xf numFmtId="185" fontId="10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68"/>
  <sheetViews>
    <sheetView view="pageBreakPreview" zoomScaleSheetLayoutView="100" workbookViewId="0" topLeftCell="A1">
      <selection activeCell="H12" sqref="H12"/>
    </sheetView>
  </sheetViews>
  <sheetFormatPr defaultColWidth="9.00390625" defaultRowHeight="12.75"/>
  <cols>
    <col min="1" max="1" width="73.875" style="22" customWidth="1"/>
    <col min="2" max="2" width="5.125" style="24" customWidth="1"/>
    <col min="3" max="3" width="5.25390625" style="24" customWidth="1"/>
    <col min="4" max="4" width="12.875" style="22" customWidth="1"/>
    <col min="5" max="5" width="2.75390625" style="22" customWidth="1"/>
    <col min="6" max="16384" width="9.125" style="22" customWidth="1"/>
  </cols>
  <sheetData>
    <row r="1" spans="1:4" ht="15.75">
      <c r="A1" s="379" t="s">
        <v>721</v>
      </c>
      <c r="B1" s="378"/>
      <c r="C1" s="378"/>
      <c r="D1" s="378"/>
    </row>
    <row r="2" spans="1:4" ht="15.75">
      <c r="A2" s="379" t="s">
        <v>321</v>
      </c>
      <c r="B2" s="378"/>
      <c r="C2" s="378"/>
      <c r="D2" s="378"/>
    </row>
    <row r="3" spans="1:4" ht="15.75">
      <c r="A3" s="377" t="s">
        <v>428</v>
      </c>
      <c r="B3" s="378"/>
      <c r="C3" s="378"/>
      <c r="D3" s="378"/>
    </row>
    <row r="4" spans="1:4" ht="15.75">
      <c r="A4" s="377" t="s">
        <v>382</v>
      </c>
      <c r="B4" s="378"/>
      <c r="C4" s="378"/>
      <c r="D4" s="378"/>
    </row>
    <row r="5" spans="1:4" ht="15.75">
      <c r="A5" s="379" t="s">
        <v>702</v>
      </c>
      <c r="B5" s="378"/>
      <c r="C5" s="378"/>
      <c r="D5" s="378"/>
    </row>
    <row r="7" spans="1:4" ht="15.75">
      <c r="A7" s="379" t="s">
        <v>673</v>
      </c>
      <c r="B7" s="378"/>
      <c r="C7" s="378"/>
      <c r="D7" s="378"/>
    </row>
    <row r="8" spans="1:4" ht="15.75">
      <c r="A8" s="379" t="s">
        <v>321</v>
      </c>
      <c r="B8" s="378"/>
      <c r="C8" s="378"/>
      <c r="D8" s="378"/>
    </row>
    <row r="9" spans="1:4" ht="15.75">
      <c r="A9" s="377" t="s">
        <v>428</v>
      </c>
      <c r="B9" s="378"/>
      <c r="C9" s="378"/>
      <c r="D9" s="378"/>
    </row>
    <row r="10" spans="1:4" ht="15.75">
      <c r="A10" s="377" t="s">
        <v>382</v>
      </c>
      <c r="B10" s="378"/>
      <c r="C10" s="378"/>
      <c r="D10" s="378"/>
    </row>
    <row r="11" spans="1:4" ht="15.75">
      <c r="A11" s="379" t="s">
        <v>671</v>
      </c>
      <c r="B11" s="378"/>
      <c r="C11" s="378"/>
      <c r="D11" s="378"/>
    </row>
    <row r="12" spans="1:4" ht="15.75">
      <c r="A12" s="23"/>
      <c r="B12" s="23"/>
      <c r="D12" s="399"/>
    </row>
    <row r="13" spans="1:4" ht="52.5" customHeight="1">
      <c r="A13" s="380" t="s">
        <v>429</v>
      </c>
      <c r="B13" s="380"/>
      <c r="C13" s="380"/>
      <c r="D13" s="380"/>
    </row>
    <row r="14" spans="1:4" ht="15.75">
      <c r="A14" s="25"/>
      <c r="B14" s="25"/>
      <c r="C14" s="25"/>
      <c r="D14" s="25"/>
    </row>
    <row r="15" spans="1:4" ht="47.25">
      <c r="A15" s="26" t="s">
        <v>146</v>
      </c>
      <c r="B15" s="26" t="s">
        <v>148</v>
      </c>
      <c r="C15" s="26" t="s">
        <v>149</v>
      </c>
      <c r="D15" s="26" t="s">
        <v>134</v>
      </c>
    </row>
    <row r="16" spans="1:4" ht="15.75">
      <c r="A16" s="27">
        <v>1</v>
      </c>
      <c r="B16" s="27">
        <v>2</v>
      </c>
      <c r="C16" s="27">
        <v>3</v>
      </c>
      <c r="D16" s="28" t="s">
        <v>135</v>
      </c>
    </row>
    <row r="17" spans="1:4" ht="15.75">
      <c r="A17" s="136" t="s">
        <v>131</v>
      </c>
      <c r="B17" s="215" t="s">
        <v>157</v>
      </c>
      <c r="C17" s="216"/>
      <c r="D17" s="217">
        <f>SUM(D18:D24)</f>
        <v>257038.408</v>
      </c>
    </row>
    <row r="18" spans="1:4" ht="25.5">
      <c r="A18" s="84" t="s">
        <v>204</v>
      </c>
      <c r="B18" s="218" t="s">
        <v>157</v>
      </c>
      <c r="C18" s="218" t="s">
        <v>171</v>
      </c>
      <c r="D18" s="219">
        <v>3517.24</v>
      </c>
    </row>
    <row r="19" spans="1:4" ht="25.5">
      <c r="A19" s="84" t="s">
        <v>152</v>
      </c>
      <c r="B19" s="218" t="s">
        <v>157</v>
      </c>
      <c r="C19" s="218" t="s">
        <v>158</v>
      </c>
      <c r="D19" s="219">
        <f>3388.7+1066.3+2020.7</f>
        <v>6475.7</v>
      </c>
    </row>
    <row r="20" spans="1:4" ht="38.25">
      <c r="A20" s="84" t="s">
        <v>141</v>
      </c>
      <c r="B20" s="218" t="s">
        <v>157</v>
      </c>
      <c r="C20" s="218" t="s">
        <v>170</v>
      </c>
      <c r="D20" s="219">
        <v>82721.889</v>
      </c>
    </row>
    <row r="21" spans="1:4" ht="15.75">
      <c r="A21" s="84" t="s">
        <v>246</v>
      </c>
      <c r="B21" s="218" t="s">
        <v>157</v>
      </c>
      <c r="C21" s="218" t="s">
        <v>172</v>
      </c>
      <c r="D21" s="219">
        <v>1.289</v>
      </c>
    </row>
    <row r="22" spans="1:4" ht="25.5">
      <c r="A22" s="84" t="s">
        <v>154</v>
      </c>
      <c r="B22" s="218" t="s">
        <v>157</v>
      </c>
      <c r="C22" s="218" t="s">
        <v>130</v>
      </c>
      <c r="D22" s="219">
        <f>16358.7+300-325.1-169.5</f>
        <v>16164.1</v>
      </c>
    </row>
    <row r="23" spans="1:4" ht="15.75">
      <c r="A23" s="84" t="s">
        <v>163</v>
      </c>
      <c r="B23" s="218" t="s">
        <v>157</v>
      </c>
      <c r="C23" s="218" t="s">
        <v>156</v>
      </c>
      <c r="D23" s="219">
        <f>20916.2+7734.5</f>
        <v>28650.7</v>
      </c>
    </row>
    <row r="24" spans="1:4" ht="15.75">
      <c r="A24" s="84" t="s">
        <v>142</v>
      </c>
      <c r="B24" s="218" t="s">
        <v>157</v>
      </c>
      <c r="C24" s="218" t="s">
        <v>123</v>
      </c>
      <c r="D24" s="219">
        <v>119507.49</v>
      </c>
    </row>
    <row r="25" spans="1:4" s="222" customFormat="1" ht="15.75">
      <c r="A25" s="137" t="s">
        <v>138</v>
      </c>
      <c r="B25" s="220" t="s">
        <v>171</v>
      </c>
      <c r="C25" s="220"/>
      <c r="D25" s="221">
        <f>D26</f>
        <v>664.051</v>
      </c>
    </row>
    <row r="26" spans="1:4" ht="15.75">
      <c r="A26" s="84" t="s">
        <v>139</v>
      </c>
      <c r="B26" s="218" t="s">
        <v>171</v>
      </c>
      <c r="C26" s="218" t="s">
        <v>158</v>
      </c>
      <c r="D26" s="219">
        <v>664.051</v>
      </c>
    </row>
    <row r="27" spans="1:4" ht="15.75">
      <c r="A27" s="223" t="s">
        <v>128</v>
      </c>
      <c r="B27" s="220" t="s">
        <v>158</v>
      </c>
      <c r="C27" s="218"/>
      <c r="D27" s="221">
        <f>D28+D29</f>
        <v>5866.1</v>
      </c>
    </row>
    <row r="28" spans="1:4" ht="15.75">
      <c r="A28" s="84" t="s">
        <v>387</v>
      </c>
      <c r="B28" s="218" t="s">
        <v>158</v>
      </c>
      <c r="C28" s="218" t="s">
        <v>168</v>
      </c>
      <c r="D28" s="219">
        <f>3437.1+400+266</f>
        <v>4103.1</v>
      </c>
    </row>
    <row r="29" spans="1:4" ht="32.25" customHeight="1">
      <c r="A29" s="84" t="s">
        <v>568</v>
      </c>
      <c r="B29" s="218" t="s">
        <v>158</v>
      </c>
      <c r="C29" s="218" t="s">
        <v>127</v>
      </c>
      <c r="D29" s="219">
        <v>1763</v>
      </c>
    </row>
    <row r="30" spans="1:4" ht="15.75">
      <c r="A30" s="137" t="s">
        <v>169</v>
      </c>
      <c r="B30" s="220" t="s">
        <v>170</v>
      </c>
      <c r="C30" s="218"/>
      <c r="D30" s="221">
        <f>D31+D32+D33+D34+D35</f>
        <v>80886.66500000001</v>
      </c>
    </row>
    <row r="31" spans="1:4" ht="15.75">
      <c r="A31" s="84" t="s">
        <v>153</v>
      </c>
      <c r="B31" s="218" t="s">
        <v>170</v>
      </c>
      <c r="C31" s="218" t="s">
        <v>172</v>
      </c>
      <c r="D31" s="219">
        <f>1220+2000</f>
        <v>3220</v>
      </c>
    </row>
    <row r="32" spans="1:4" ht="15.75" customHeight="1" hidden="1">
      <c r="A32" s="84" t="s">
        <v>252</v>
      </c>
      <c r="B32" s="218" t="s">
        <v>170</v>
      </c>
      <c r="C32" s="218" t="s">
        <v>129</v>
      </c>
      <c r="D32" s="219"/>
    </row>
    <row r="33" spans="1:4" ht="15.75">
      <c r="A33" s="84" t="s">
        <v>173</v>
      </c>
      <c r="B33" s="218" t="s">
        <v>170</v>
      </c>
      <c r="C33" s="218" t="s">
        <v>160</v>
      </c>
      <c r="D33" s="219">
        <f>2000+1850</f>
        <v>3850</v>
      </c>
    </row>
    <row r="34" spans="1:4" ht="15.75">
      <c r="A34" s="84" t="s">
        <v>137</v>
      </c>
      <c r="B34" s="218" t="s">
        <v>170</v>
      </c>
      <c r="C34" s="218" t="s">
        <v>168</v>
      </c>
      <c r="D34" s="219">
        <v>40523.905</v>
      </c>
    </row>
    <row r="35" spans="1:4" ht="15.75">
      <c r="A35" s="84" t="s">
        <v>136</v>
      </c>
      <c r="B35" s="218" t="s">
        <v>170</v>
      </c>
      <c r="C35" s="218" t="s">
        <v>164</v>
      </c>
      <c r="D35" s="219">
        <v>33292.76</v>
      </c>
    </row>
    <row r="36" spans="1:4" ht="15.75">
      <c r="A36" s="137" t="s">
        <v>144</v>
      </c>
      <c r="B36" s="220" t="s">
        <v>172</v>
      </c>
      <c r="C36" s="218"/>
      <c r="D36" s="221">
        <f>D37+D39+D38+D40</f>
        <v>119238.374</v>
      </c>
    </row>
    <row r="37" spans="1:4" ht="15.75">
      <c r="A37" s="84" t="s">
        <v>208</v>
      </c>
      <c r="B37" s="218" t="s">
        <v>172</v>
      </c>
      <c r="C37" s="218" t="s">
        <v>157</v>
      </c>
      <c r="D37" s="219">
        <v>28733.874</v>
      </c>
    </row>
    <row r="38" spans="1:4" ht="15.75">
      <c r="A38" s="84" t="s">
        <v>126</v>
      </c>
      <c r="B38" s="218" t="s">
        <v>172</v>
      </c>
      <c r="C38" s="218" t="s">
        <v>171</v>
      </c>
      <c r="D38" s="219">
        <f>8288.7+11467+2818.1+51.1+500+4132.8+740+2793-663.3</f>
        <v>30127.399999999998</v>
      </c>
    </row>
    <row r="39" spans="1:4" ht="15.75">
      <c r="A39" s="84" t="s">
        <v>8</v>
      </c>
      <c r="B39" s="218" t="s">
        <v>172</v>
      </c>
      <c r="C39" s="218" t="s">
        <v>158</v>
      </c>
      <c r="D39" s="219">
        <v>58077.1</v>
      </c>
    </row>
    <row r="40" spans="1:4" ht="15.75">
      <c r="A40" s="84" t="s">
        <v>711</v>
      </c>
      <c r="B40" s="218" t="s">
        <v>172</v>
      </c>
      <c r="C40" s="218" t="s">
        <v>172</v>
      </c>
      <c r="D40" s="219">
        <v>2300</v>
      </c>
    </row>
    <row r="41" spans="1:4" ht="15.75">
      <c r="A41" s="44" t="s">
        <v>509</v>
      </c>
      <c r="B41" s="220" t="s">
        <v>130</v>
      </c>
      <c r="C41" s="220"/>
      <c r="D41" s="221">
        <f>D42</f>
        <v>3500</v>
      </c>
    </row>
    <row r="42" spans="1:4" ht="15.75">
      <c r="A42" s="50" t="s">
        <v>508</v>
      </c>
      <c r="B42" s="218" t="s">
        <v>130</v>
      </c>
      <c r="C42" s="218" t="s">
        <v>172</v>
      </c>
      <c r="D42" s="228">
        <v>3500</v>
      </c>
    </row>
    <row r="43" spans="1:4" ht="15.75">
      <c r="A43" s="137" t="s">
        <v>166</v>
      </c>
      <c r="B43" s="220" t="s">
        <v>129</v>
      </c>
      <c r="C43" s="218"/>
      <c r="D43" s="232">
        <f>D44+D45+D46+D47+D48</f>
        <v>840511.1449999999</v>
      </c>
    </row>
    <row r="44" spans="1:4" ht="15.75">
      <c r="A44" s="84" t="s">
        <v>151</v>
      </c>
      <c r="B44" s="218" t="s">
        <v>129</v>
      </c>
      <c r="C44" s="218" t="s">
        <v>157</v>
      </c>
      <c r="D44" s="228">
        <v>257356.9</v>
      </c>
    </row>
    <row r="45" spans="1:4" ht="15.75">
      <c r="A45" s="84" t="s">
        <v>167</v>
      </c>
      <c r="B45" s="218" t="s">
        <v>129</v>
      </c>
      <c r="C45" s="218" t="s">
        <v>171</v>
      </c>
      <c r="D45" s="228">
        <f>442278.57+461</f>
        <v>442739.57</v>
      </c>
    </row>
    <row r="46" spans="1:4" ht="15.75">
      <c r="A46" s="84" t="s">
        <v>240</v>
      </c>
      <c r="B46" s="218" t="s">
        <v>129</v>
      </c>
      <c r="C46" s="218" t="s">
        <v>158</v>
      </c>
      <c r="D46" s="228">
        <f>117641.075+240+250</f>
        <v>118131.075</v>
      </c>
    </row>
    <row r="47" spans="1:4" ht="15.75">
      <c r="A47" s="84" t="s">
        <v>241</v>
      </c>
      <c r="B47" s="218" t="s">
        <v>129</v>
      </c>
      <c r="C47" s="218" t="s">
        <v>129</v>
      </c>
      <c r="D47" s="228">
        <f>1517+500-240</f>
        <v>1777</v>
      </c>
    </row>
    <row r="48" spans="1:4" ht="15.75">
      <c r="A48" s="84" t="s">
        <v>125</v>
      </c>
      <c r="B48" s="218" t="s">
        <v>129</v>
      </c>
      <c r="C48" s="218" t="s">
        <v>168</v>
      </c>
      <c r="D48" s="228">
        <f>19627.2+879.4</f>
        <v>20506.600000000002</v>
      </c>
    </row>
    <row r="49" spans="1:4" ht="15.75">
      <c r="A49" s="137" t="s">
        <v>264</v>
      </c>
      <c r="B49" s="220" t="s">
        <v>160</v>
      </c>
      <c r="C49" s="218"/>
      <c r="D49" s="232">
        <f>D50</f>
        <v>277781.37000000005</v>
      </c>
    </row>
    <row r="50" spans="1:4" ht="15.75">
      <c r="A50" s="84" t="s">
        <v>161</v>
      </c>
      <c r="B50" s="218" t="s">
        <v>160</v>
      </c>
      <c r="C50" s="218" t="s">
        <v>157</v>
      </c>
      <c r="D50" s="228">
        <f>129465.7+700-1041.1+15610.3+128940.5+2482.9+2000-126.93+370-620</f>
        <v>277781.37000000005</v>
      </c>
    </row>
    <row r="51" spans="1:4" ht="15.75">
      <c r="A51" s="137" t="s">
        <v>155</v>
      </c>
      <c r="B51" s="220" t="s">
        <v>127</v>
      </c>
      <c r="C51" s="218"/>
      <c r="D51" s="221">
        <f>D52+D53+D54+D55</f>
        <v>61747.59999999999</v>
      </c>
    </row>
    <row r="52" spans="1:4" ht="15.75">
      <c r="A52" s="84" t="s">
        <v>165</v>
      </c>
      <c r="B52" s="218" t="s">
        <v>127</v>
      </c>
      <c r="C52" s="218" t="s">
        <v>157</v>
      </c>
      <c r="D52" s="219">
        <f>964+503.6</f>
        <v>1467.6</v>
      </c>
    </row>
    <row r="53" spans="1:4" ht="15.75">
      <c r="A53" s="84" t="s">
        <v>124</v>
      </c>
      <c r="B53" s="218" t="s">
        <v>127</v>
      </c>
      <c r="C53" s="218" t="s">
        <v>158</v>
      </c>
      <c r="D53" s="219">
        <v>24127.2</v>
      </c>
    </row>
    <row r="54" spans="1:4" ht="15.75">
      <c r="A54" s="84" t="s">
        <v>159</v>
      </c>
      <c r="B54" s="218" t="s">
        <v>127</v>
      </c>
      <c r="C54" s="218" t="s">
        <v>170</v>
      </c>
      <c r="D54" s="219">
        <v>36097.6</v>
      </c>
    </row>
    <row r="55" spans="1:4" ht="15.75">
      <c r="A55" s="84" t="s">
        <v>331</v>
      </c>
      <c r="B55" s="218" t="s">
        <v>127</v>
      </c>
      <c r="C55" s="218" t="s">
        <v>130</v>
      </c>
      <c r="D55" s="219">
        <v>55.2</v>
      </c>
    </row>
    <row r="56" spans="1:4" s="222" customFormat="1" ht="15.75">
      <c r="A56" s="137" t="s">
        <v>162</v>
      </c>
      <c r="B56" s="220" t="s">
        <v>156</v>
      </c>
      <c r="C56" s="220"/>
      <c r="D56" s="221">
        <f>SUM(D57:D58)</f>
        <v>28197.199999999997</v>
      </c>
    </row>
    <row r="57" spans="1:4" s="222" customFormat="1" ht="15.75">
      <c r="A57" s="84" t="s">
        <v>185</v>
      </c>
      <c r="B57" s="218" t="s">
        <v>156</v>
      </c>
      <c r="C57" s="218" t="s">
        <v>171</v>
      </c>
      <c r="D57" s="219">
        <v>5995.9</v>
      </c>
    </row>
    <row r="58" spans="1:4" ht="15.75">
      <c r="A58" s="227" t="s">
        <v>620</v>
      </c>
      <c r="B58" s="218" t="s">
        <v>156</v>
      </c>
      <c r="C58" s="218" t="s">
        <v>158</v>
      </c>
      <c r="D58" s="219">
        <f>21538+663.3+300-300</f>
        <v>22201.3</v>
      </c>
    </row>
    <row r="59" spans="1:4" s="222" customFormat="1" ht="15.75">
      <c r="A59" s="137" t="s">
        <v>111</v>
      </c>
      <c r="B59" s="220" t="s">
        <v>123</v>
      </c>
      <c r="C59" s="220"/>
      <c r="D59" s="221">
        <f>D60</f>
        <v>9504.800000000001</v>
      </c>
    </row>
    <row r="60" spans="1:4" ht="15.75">
      <c r="A60" s="84" t="s">
        <v>385</v>
      </c>
      <c r="B60" s="218" t="s">
        <v>123</v>
      </c>
      <c r="C60" s="218" t="s">
        <v>157</v>
      </c>
      <c r="D60" s="219">
        <f>12155.2-2650.4</f>
        <v>9504.800000000001</v>
      </c>
    </row>
    <row r="61" spans="1:5" ht="15.75">
      <c r="A61" s="224" t="s">
        <v>143</v>
      </c>
      <c r="B61" s="225"/>
      <c r="C61" s="225"/>
      <c r="D61" s="226">
        <f>D17+D25+D27+D30+D36+D41+D43+D49+D51+D56+D59</f>
        <v>1684935.7130000002</v>
      </c>
      <c r="E61" s="22" t="s">
        <v>674</v>
      </c>
    </row>
    <row r="62" ht="15.75">
      <c r="D62" s="400"/>
    </row>
    <row r="63" ht="15.75">
      <c r="D63" s="401"/>
    </row>
    <row r="64" ht="15.75">
      <c r="D64" s="402"/>
    </row>
    <row r="65" ht="15.75">
      <c r="D65" s="402"/>
    </row>
    <row r="68" ht="15.75">
      <c r="D68" s="400"/>
    </row>
  </sheetData>
  <sheetProtection/>
  <mergeCells count="11">
    <mergeCell ref="A13:D13"/>
    <mergeCell ref="A9:D9"/>
    <mergeCell ref="A7:D7"/>
    <mergeCell ref="A8:D8"/>
    <mergeCell ref="A11:D11"/>
    <mergeCell ref="A10:D10"/>
    <mergeCell ref="A1:D1"/>
    <mergeCell ref="A2:D2"/>
    <mergeCell ref="A3:D3"/>
    <mergeCell ref="A4:D4"/>
    <mergeCell ref="A5:D5"/>
  </mergeCells>
  <printOptions/>
  <pageMargins left="1.1811023622047245" right="0.5905511811023623" top="0.7874015748031497" bottom="0.7874015748031497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87"/>
  <sheetViews>
    <sheetView view="pageBreakPreview" zoomScale="90" zoomScaleNormal="110" zoomScaleSheetLayoutView="90" workbookViewId="0" topLeftCell="A1">
      <pane ySplit="5" topLeftCell="A28" activePane="bottomLeft" state="frozen"/>
      <selection pane="topLeft" activeCell="A1" sqref="A1"/>
      <selection pane="bottomLeft" activeCell="A2" sqref="A2:F2"/>
    </sheetView>
  </sheetViews>
  <sheetFormatPr defaultColWidth="9.00390625" defaultRowHeight="12.75"/>
  <cols>
    <col min="1" max="1" width="73.875" style="22" customWidth="1"/>
    <col min="2" max="2" width="5.125" style="24" customWidth="1"/>
    <col min="3" max="3" width="5.25390625" style="24" customWidth="1"/>
    <col min="4" max="4" width="14.125" style="22" customWidth="1"/>
    <col min="5" max="5" width="14.375" style="22" customWidth="1"/>
    <col min="6" max="6" width="14.875" style="22" customWidth="1"/>
    <col min="7" max="7" width="15.00390625" style="22" bestFit="1" customWidth="1"/>
    <col min="8" max="16384" width="9.125" style="22" customWidth="1"/>
  </cols>
  <sheetData>
    <row r="1" spans="1:6" ht="15.75">
      <c r="A1" s="381" t="s">
        <v>722</v>
      </c>
      <c r="B1" s="382"/>
      <c r="C1" s="382"/>
      <c r="D1" s="382"/>
      <c r="E1" s="383"/>
      <c r="F1" s="383"/>
    </row>
    <row r="2" spans="1:6" ht="52.5" customHeight="1">
      <c r="A2" s="380" t="s">
        <v>429</v>
      </c>
      <c r="B2" s="380"/>
      <c r="C2" s="380"/>
      <c r="D2" s="380"/>
      <c r="E2" s="383"/>
      <c r="F2" s="383"/>
    </row>
    <row r="3" spans="1:6" ht="15.75">
      <c r="A3" s="25"/>
      <c r="B3" s="25"/>
      <c r="C3" s="25"/>
      <c r="D3" s="25"/>
      <c r="E3" s="25"/>
      <c r="F3" s="25"/>
    </row>
    <row r="4" spans="1:6" ht="47.25">
      <c r="A4" s="26" t="s">
        <v>146</v>
      </c>
      <c r="B4" s="26" t="s">
        <v>148</v>
      </c>
      <c r="C4" s="26" t="s">
        <v>149</v>
      </c>
      <c r="D4" s="26" t="s">
        <v>675</v>
      </c>
      <c r="E4" s="26" t="s">
        <v>676</v>
      </c>
      <c r="F4" s="26" t="s">
        <v>677</v>
      </c>
    </row>
    <row r="5" spans="1:6" ht="15.75">
      <c r="A5" s="27">
        <v>1</v>
      </c>
      <c r="B5" s="27">
        <v>2</v>
      </c>
      <c r="C5" s="27">
        <v>3</v>
      </c>
      <c r="D5" s="28" t="s">
        <v>135</v>
      </c>
      <c r="E5" s="28" t="s">
        <v>678</v>
      </c>
      <c r="F5" s="28" t="s">
        <v>679</v>
      </c>
    </row>
    <row r="6" spans="1:6" ht="15.75">
      <c r="A6" s="136" t="s">
        <v>131</v>
      </c>
      <c r="B6" s="215" t="s">
        <v>157</v>
      </c>
      <c r="C6" s="216"/>
      <c r="D6" s="217">
        <f>SUM(D7:D13)</f>
        <v>257038.408</v>
      </c>
      <c r="E6" s="217">
        <f>SUM(E7:E13)</f>
        <v>257038.32900000006</v>
      </c>
      <c r="F6" s="217">
        <f>SUM(F7:F13)</f>
        <v>0.07899999995424878</v>
      </c>
    </row>
    <row r="7" spans="1:6" ht="25.5">
      <c r="A7" s="84" t="s">
        <v>204</v>
      </c>
      <c r="B7" s="218" t="s">
        <v>157</v>
      </c>
      <c r="C7" s="218" t="s">
        <v>171</v>
      </c>
      <c r="D7" s="219">
        <v>3517.24</v>
      </c>
      <c r="E7" s="219">
        <v>3517.24</v>
      </c>
      <c r="F7" s="219">
        <f>D7-E7</f>
        <v>0</v>
      </c>
    </row>
    <row r="8" spans="1:6" ht="25.5">
      <c r="A8" s="84" t="s">
        <v>152</v>
      </c>
      <c r="B8" s="218" t="s">
        <v>157</v>
      </c>
      <c r="C8" s="218" t="s">
        <v>158</v>
      </c>
      <c r="D8" s="219">
        <f>3388.7+1066.3+2020.7</f>
        <v>6475.7</v>
      </c>
      <c r="E8" s="219">
        <f>3388.7+1066.3+2020.7</f>
        <v>6475.7</v>
      </c>
      <c r="F8" s="219">
        <f aca="true" t="shared" si="0" ref="F8:F13">D8-E8</f>
        <v>0</v>
      </c>
    </row>
    <row r="9" spans="1:6" ht="38.25">
      <c r="A9" s="84" t="s">
        <v>141</v>
      </c>
      <c r="B9" s="218" t="s">
        <v>157</v>
      </c>
      <c r="C9" s="218" t="s">
        <v>170</v>
      </c>
      <c r="D9" s="219">
        <v>82721.889</v>
      </c>
      <c r="E9" s="219">
        <f>81496.4-431.4+435.3-1725.7+1741.2-967.9+975.6-4745.8+4788.3+0.5-382.7+139.6+42.2+163.3+1193</f>
        <v>82721.90000000002</v>
      </c>
      <c r="F9" s="219">
        <f t="shared" si="0"/>
        <v>-0.011000000027706847</v>
      </c>
    </row>
    <row r="10" spans="1:6" ht="15.75">
      <c r="A10" s="84" t="s">
        <v>246</v>
      </c>
      <c r="B10" s="218" t="s">
        <v>157</v>
      </c>
      <c r="C10" s="218" t="s">
        <v>172</v>
      </c>
      <c r="D10" s="219">
        <v>1.289</v>
      </c>
      <c r="E10" s="219">
        <v>1.289</v>
      </c>
      <c r="F10" s="219">
        <f t="shared" si="0"/>
        <v>0</v>
      </c>
    </row>
    <row r="11" spans="1:6" ht="25.5">
      <c r="A11" s="84" t="s">
        <v>154</v>
      </c>
      <c r="B11" s="218" t="s">
        <v>157</v>
      </c>
      <c r="C11" s="218" t="s">
        <v>130</v>
      </c>
      <c r="D11" s="219">
        <f>16358.7+300-325.1-169.5</f>
        <v>16164.1</v>
      </c>
      <c r="E11" s="219">
        <f>16358.7+300-325.1-169.5</f>
        <v>16164.1</v>
      </c>
      <c r="F11" s="219">
        <f t="shared" si="0"/>
        <v>0</v>
      </c>
    </row>
    <row r="12" spans="1:6" ht="15.75">
      <c r="A12" s="84" t="s">
        <v>163</v>
      </c>
      <c r="B12" s="218" t="s">
        <v>157</v>
      </c>
      <c r="C12" s="218" t="s">
        <v>156</v>
      </c>
      <c r="D12" s="219">
        <f>20916.2+7734.5</f>
        <v>28650.7</v>
      </c>
      <c r="E12" s="219">
        <f>20916.2+7734.5</f>
        <v>28650.7</v>
      </c>
      <c r="F12" s="219">
        <f t="shared" si="0"/>
        <v>0</v>
      </c>
    </row>
    <row r="13" spans="1:6" ht="15.75">
      <c r="A13" s="84" t="s">
        <v>142</v>
      </c>
      <c r="B13" s="218" t="s">
        <v>157</v>
      </c>
      <c r="C13" s="218" t="s">
        <v>123</v>
      </c>
      <c r="D13" s="219">
        <v>119507.49</v>
      </c>
      <c r="E13" s="219">
        <f>112352.5-333+319.3+3228.3+800-2150.9+2453.3-0.5+382.7+247.6+1674.1+534</f>
        <v>119507.40000000002</v>
      </c>
      <c r="F13" s="219">
        <f t="shared" si="0"/>
        <v>0.08999999998195563</v>
      </c>
    </row>
    <row r="14" spans="1:6" s="222" customFormat="1" ht="15.75">
      <c r="A14" s="137" t="s">
        <v>138</v>
      </c>
      <c r="B14" s="220" t="s">
        <v>171</v>
      </c>
      <c r="C14" s="220"/>
      <c r="D14" s="221">
        <f>D15</f>
        <v>664.051</v>
      </c>
      <c r="E14" s="221">
        <f>E15</f>
        <v>664.051</v>
      </c>
      <c r="F14" s="221">
        <f>F15</f>
        <v>0</v>
      </c>
    </row>
    <row r="15" spans="1:6" ht="15.75">
      <c r="A15" s="84" t="s">
        <v>139</v>
      </c>
      <c r="B15" s="218" t="s">
        <v>171</v>
      </c>
      <c r="C15" s="218" t="s">
        <v>158</v>
      </c>
      <c r="D15" s="219">
        <v>664.051</v>
      </c>
      <c r="E15" s="219">
        <f>504.651+159.4</f>
        <v>664.051</v>
      </c>
      <c r="F15" s="219">
        <f>D15-E15</f>
        <v>0</v>
      </c>
    </row>
    <row r="16" spans="1:6" ht="15.75">
      <c r="A16" s="223" t="s">
        <v>128</v>
      </c>
      <c r="B16" s="220" t="s">
        <v>158</v>
      </c>
      <c r="C16" s="218"/>
      <c r="D16" s="221">
        <f>D17+D18</f>
        <v>5866.1</v>
      </c>
      <c r="E16" s="221">
        <f>E17+E18</f>
        <v>5866.1</v>
      </c>
      <c r="F16" s="221">
        <f>F17+F18</f>
        <v>0</v>
      </c>
    </row>
    <row r="17" spans="1:6" ht="15.75">
      <c r="A17" s="84" t="s">
        <v>387</v>
      </c>
      <c r="B17" s="218" t="s">
        <v>158</v>
      </c>
      <c r="C17" s="218" t="s">
        <v>168</v>
      </c>
      <c r="D17" s="219">
        <f>3437.1+400+266</f>
        <v>4103.1</v>
      </c>
      <c r="E17" s="219">
        <f>3437.1+400+266</f>
        <v>4103.1</v>
      </c>
      <c r="F17" s="219">
        <f>D17-E17</f>
        <v>0</v>
      </c>
    </row>
    <row r="18" spans="1:6" ht="32.25" customHeight="1">
      <c r="A18" s="84" t="s">
        <v>568</v>
      </c>
      <c r="B18" s="218" t="s">
        <v>158</v>
      </c>
      <c r="C18" s="218" t="s">
        <v>127</v>
      </c>
      <c r="D18" s="219">
        <v>1763</v>
      </c>
      <c r="E18" s="219">
        <v>1763</v>
      </c>
      <c r="F18" s="219">
        <f>D18-E18</f>
        <v>0</v>
      </c>
    </row>
    <row r="19" spans="1:6" ht="15.75">
      <c r="A19" s="137" t="s">
        <v>169</v>
      </c>
      <c r="B19" s="220" t="s">
        <v>170</v>
      </c>
      <c r="C19" s="218"/>
      <c r="D19" s="221">
        <f>D20+D21+D22+D23+D24</f>
        <v>80886.66500000001</v>
      </c>
      <c r="E19" s="221">
        <f>E20+E21+E22+E23+E24</f>
        <v>78886.73999999999</v>
      </c>
      <c r="F19" s="221">
        <f>F20+F21+F22+F23+F24</f>
        <v>1999.925000000003</v>
      </c>
    </row>
    <row r="20" spans="1:6" ht="15.75">
      <c r="A20" s="84" t="s">
        <v>153</v>
      </c>
      <c r="B20" s="218" t="s">
        <v>170</v>
      </c>
      <c r="C20" s="218" t="s">
        <v>172</v>
      </c>
      <c r="D20" s="219">
        <f>1220+2000</f>
        <v>3220</v>
      </c>
      <c r="E20" s="219">
        <v>1220</v>
      </c>
      <c r="F20" s="219">
        <f>D20-E20</f>
        <v>2000</v>
      </c>
    </row>
    <row r="21" spans="1:6" ht="15.75" customHeight="1" hidden="1">
      <c r="A21" s="84" t="s">
        <v>252</v>
      </c>
      <c r="B21" s="218" t="s">
        <v>170</v>
      </c>
      <c r="C21" s="218" t="s">
        <v>129</v>
      </c>
      <c r="D21" s="219"/>
      <c r="E21" s="219"/>
      <c r="F21" s="219">
        <f>D21-E21</f>
        <v>0</v>
      </c>
    </row>
    <row r="22" spans="1:6" ht="15.75">
      <c r="A22" s="84" t="s">
        <v>173</v>
      </c>
      <c r="B22" s="218" t="s">
        <v>170</v>
      </c>
      <c r="C22" s="218" t="s">
        <v>160</v>
      </c>
      <c r="D22" s="219">
        <f>2000+1850</f>
        <v>3850</v>
      </c>
      <c r="E22" s="219">
        <f>2000+1850</f>
        <v>3850</v>
      </c>
      <c r="F22" s="219">
        <f>D22-E22</f>
        <v>0</v>
      </c>
    </row>
    <row r="23" spans="1:6" ht="15.75">
      <c r="A23" s="84" t="s">
        <v>137</v>
      </c>
      <c r="B23" s="218" t="s">
        <v>170</v>
      </c>
      <c r="C23" s="218" t="s">
        <v>168</v>
      </c>
      <c r="D23" s="219">
        <v>40523.905</v>
      </c>
      <c r="E23" s="219">
        <f>38789.7+1734.24</f>
        <v>40523.939999999995</v>
      </c>
      <c r="F23" s="219">
        <f>D23-E23</f>
        <v>-0.0349999999962165</v>
      </c>
    </row>
    <row r="24" spans="1:6" ht="15.75">
      <c r="A24" s="84" t="s">
        <v>136</v>
      </c>
      <c r="B24" s="218" t="s">
        <v>170</v>
      </c>
      <c r="C24" s="218" t="s">
        <v>164</v>
      </c>
      <c r="D24" s="219">
        <v>33292.76</v>
      </c>
      <c r="E24" s="219">
        <f>3536+500+28888.8+368</f>
        <v>33292.8</v>
      </c>
      <c r="F24" s="219">
        <f>D24-E24</f>
        <v>-0.040000000000873115</v>
      </c>
    </row>
    <row r="25" spans="1:6" ht="15.75">
      <c r="A25" s="137" t="s">
        <v>144</v>
      </c>
      <c r="B25" s="220" t="s">
        <v>172</v>
      </c>
      <c r="C25" s="218"/>
      <c r="D25" s="221">
        <f>D26+D28+D27+D29</f>
        <v>119238.374</v>
      </c>
      <c r="E25" s="221">
        <f>E26+E28+E27+E29</f>
        <v>117601.474</v>
      </c>
      <c r="F25" s="221">
        <f>F26+F28+F27+F29</f>
        <v>1636.8999999999978</v>
      </c>
    </row>
    <row r="26" spans="1:6" ht="15.75">
      <c r="A26" s="84" t="s">
        <v>208</v>
      </c>
      <c r="B26" s="218" t="s">
        <v>172</v>
      </c>
      <c r="C26" s="218" t="s">
        <v>157</v>
      </c>
      <c r="D26" s="219">
        <v>28733.874</v>
      </c>
      <c r="E26" s="219">
        <f>28833.874-100</f>
        <v>28733.874</v>
      </c>
      <c r="F26" s="219">
        <f>D26-E26</f>
        <v>0</v>
      </c>
    </row>
    <row r="27" spans="1:6" ht="15.75">
      <c r="A27" s="84" t="s">
        <v>126</v>
      </c>
      <c r="B27" s="218" t="s">
        <v>172</v>
      </c>
      <c r="C27" s="218" t="s">
        <v>171</v>
      </c>
      <c r="D27" s="219">
        <f>8288.7+11467+2818.1+51.1+500+4132.8+740+2793-663.3</f>
        <v>30127.399999999998</v>
      </c>
      <c r="E27" s="219">
        <f>8288.7+11467+2818.1+51.1+500+4132.8+740+2793</f>
        <v>30790.699999999997</v>
      </c>
      <c r="F27" s="219">
        <f>D27-E27</f>
        <v>-663.2999999999993</v>
      </c>
    </row>
    <row r="28" spans="1:6" ht="15.75">
      <c r="A28" s="84" t="s">
        <v>8</v>
      </c>
      <c r="B28" s="218" t="s">
        <v>172</v>
      </c>
      <c r="C28" s="218" t="s">
        <v>158</v>
      </c>
      <c r="D28" s="219">
        <v>58077.1</v>
      </c>
      <c r="E28" s="219">
        <f>37675.4-2000+11320.9-11467+22089.2+228.4+230</f>
        <v>58076.9</v>
      </c>
      <c r="F28" s="219">
        <f>D28-E28</f>
        <v>0.19999999999708962</v>
      </c>
    </row>
    <row r="29" spans="1:6" ht="15.75">
      <c r="A29" s="84" t="s">
        <v>711</v>
      </c>
      <c r="B29" s="218" t="s">
        <v>172</v>
      </c>
      <c r="C29" s="218" t="s">
        <v>172</v>
      </c>
      <c r="D29" s="219">
        <v>2300</v>
      </c>
      <c r="E29" s="219">
        <v>0</v>
      </c>
      <c r="F29" s="219">
        <f>D29-E29</f>
        <v>2300</v>
      </c>
    </row>
    <row r="30" spans="1:6" ht="15.75">
      <c r="A30" s="44" t="s">
        <v>509</v>
      </c>
      <c r="B30" s="220" t="s">
        <v>130</v>
      </c>
      <c r="C30" s="220"/>
      <c r="D30" s="221">
        <f>D31</f>
        <v>3500</v>
      </c>
      <c r="E30" s="221">
        <f>E31</f>
        <v>3500</v>
      </c>
      <c r="F30" s="221">
        <f>F31</f>
        <v>0</v>
      </c>
    </row>
    <row r="31" spans="1:6" ht="15.75">
      <c r="A31" s="50" t="s">
        <v>508</v>
      </c>
      <c r="B31" s="218" t="s">
        <v>130</v>
      </c>
      <c r="C31" s="218" t="s">
        <v>172</v>
      </c>
      <c r="D31" s="228">
        <v>3500</v>
      </c>
      <c r="E31" s="228">
        <v>3500</v>
      </c>
      <c r="F31" s="219">
        <f>D31-E31</f>
        <v>0</v>
      </c>
    </row>
    <row r="32" spans="1:6" ht="15.75">
      <c r="A32" s="137" t="s">
        <v>166</v>
      </c>
      <c r="B32" s="220" t="s">
        <v>129</v>
      </c>
      <c r="C32" s="218"/>
      <c r="D32" s="232">
        <f>D33+D34+D35+D36+D37</f>
        <v>840511.1449999999</v>
      </c>
      <c r="E32" s="232">
        <f>E33+E34+E35+E36+E37</f>
        <v>839357.5999999999</v>
      </c>
      <c r="F32" s="232">
        <f>F33+F34+F35+F36+F37</f>
        <v>1153.545000000042</v>
      </c>
    </row>
    <row r="33" spans="1:6" ht="15.75">
      <c r="A33" s="84" t="s">
        <v>151</v>
      </c>
      <c r="B33" s="218" t="s">
        <v>129</v>
      </c>
      <c r="C33" s="218" t="s">
        <v>157</v>
      </c>
      <c r="D33" s="228">
        <v>257356.9</v>
      </c>
      <c r="E33" s="228">
        <f>256490.3-144.7+229.8</f>
        <v>256575.39999999997</v>
      </c>
      <c r="F33" s="219">
        <f>D33-E33</f>
        <v>781.5000000000291</v>
      </c>
    </row>
    <row r="34" spans="1:6" ht="15.75">
      <c r="A34" s="84" t="s">
        <v>167</v>
      </c>
      <c r="B34" s="218" t="s">
        <v>129</v>
      </c>
      <c r="C34" s="218" t="s">
        <v>171</v>
      </c>
      <c r="D34" s="228">
        <f>442278.57+461</f>
        <v>442739.57</v>
      </c>
      <c r="E34" s="228">
        <f>438466.1-657.7+126.2+63.9+338.5+3580.5+700</f>
        <v>442617.5</v>
      </c>
      <c r="F34" s="219">
        <f>D34-E34</f>
        <v>122.07000000000698</v>
      </c>
    </row>
    <row r="35" spans="1:6" ht="15.75">
      <c r="A35" s="84" t="s">
        <v>240</v>
      </c>
      <c r="B35" s="218" t="s">
        <v>129</v>
      </c>
      <c r="C35" s="218" t="s">
        <v>158</v>
      </c>
      <c r="D35" s="228">
        <f>117641.075+240+250</f>
        <v>118131.075</v>
      </c>
      <c r="E35" s="228">
        <f>85650.5-10+28873.7+126.9+3000</f>
        <v>117641.09999999999</v>
      </c>
      <c r="F35" s="219">
        <f>D35-E35</f>
        <v>489.9750000000058</v>
      </c>
    </row>
    <row r="36" spans="1:6" ht="15.75">
      <c r="A36" s="84" t="s">
        <v>241</v>
      </c>
      <c r="B36" s="218" t="s">
        <v>129</v>
      </c>
      <c r="C36" s="218" t="s">
        <v>129</v>
      </c>
      <c r="D36" s="228">
        <f>1517+500-240</f>
        <v>1777</v>
      </c>
      <c r="E36" s="228">
        <f>1517+500</f>
        <v>2017</v>
      </c>
      <c r="F36" s="219">
        <f>D36-E36</f>
        <v>-240</v>
      </c>
    </row>
    <row r="37" spans="1:6" ht="15.75">
      <c r="A37" s="84" t="s">
        <v>125</v>
      </c>
      <c r="B37" s="218" t="s">
        <v>129</v>
      </c>
      <c r="C37" s="218" t="s">
        <v>168</v>
      </c>
      <c r="D37" s="228">
        <f>19627.2+879.4</f>
        <v>20506.600000000002</v>
      </c>
      <c r="E37" s="228">
        <f>19627.2+879.4</f>
        <v>20506.600000000002</v>
      </c>
      <c r="F37" s="219">
        <f>D37-E37</f>
        <v>0</v>
      </c>
    </row>
    <row r="38" spans="1:6" ht="15.75">
      <c r="A38" s="137" t="s">
        <v>264</v>
      </c>
      <c r="B38" s="220" t="s">
        <v>160</v>
      </c>
      <c r="C38" s="218"/>
      <c r="D38" s="232">
        <f>D39</f>
        <v>277781.37000000005</v>
      </c>
      <c r="E38" s="232">
        <f>E39</f>
        <v>278031.4</v>
      </c>
      <c r="F38" s="232">
        <f>F39</f>
        <v>-250.02999999996973</v>
      </c>
    </row>
    <row r="39" spans="1:6" ht="15.75">
      <c r="A39" s="84" t="s">
        <v>161</v>
      </c>
      <c r="B39" s="218" t="s">
        <v>160</v>
      </c>
      <c r="C39" s="218" t="s">
        <v>157</v>
      </c>
      <c r="D39" s="228">
        <f>129465.7+700-1041.1+15610.3+128940.5+2482.9+2000-126.93+370-620</f>
        <v>277781.37000000005</v>
      </c>
      <c r="E39" s="228">
        <f>129465.7+700-1041.1+15610.3+128940.5+2482.9+2000-126.9</f>
        <v>278031.4</v>
      </c>
      <c r="F39" s="219">
        <f>D39-E39</f>
        <v>-250.02999999996973</v>
      </c>
    </row>
    <row r="40" spans="1:6" ht="15.75">
      <c r="A40" s="137" t="s">
        <v>155</v>
      </c>
      <c r="B40" s="220" t="s">
        <v>127</v>
      </c>
      <c r="C40" s="218"/>
      <c r="D40" s="221">
        <f>D41+D42+D43+D44</f>
        <v>61747.59999999999</v>
      </c>
      <c r="E40" s="221">
        <f>E41+E42+E43+E44</f>
        <v>57599.8</v>
      </c>
      <c r="F40" s="221">
        <f>F41+F42+F43+F44</f>
        <v>4147.799999999997</v>
      </c>
    </row>
    <row r="41" spans="1:6" ht="15.75">
      <c r="A41" s="84" t="s">
        <v>165</v>
      </c>
      <c r="B41" s="218" t="s">
        <v>127</v>
      </c>
      <c r="C41" s="218" t="s">
        <v>157</v>
      </c>
      <c r="D41" s="219">
        <f>964+503.6</f>
        <v>1467.6</v>
      </c>
      <c r="E41" s="219">
        <v>964</v>
      </c>
      <c r="F41" s="219">
        <f>D41-E41</f>
        <v>503.5999999999999</v>
      </c>
    </row>
    <row r="42" spans="1:6" ht="15.75">
      <c r="A42" s="84" t="s">
        <v>124</v>
      </c>
      <c r="B42" s="218" t="s">
        <v>127</v>
      </c>
      <c r="C42" s="218" t="s">
        <v>158</v>
      </c>
      <c r="D42" s="219">
        <v>24127.2</v>
      </c>
      <c r="E42" s="219">
        <f>23094.8</f>
        <v>23094.8</v>
      </c>
      <c r="F42" s="219">
        <f>D42-E42</f>
        <v>1032.4000000000015</v>
      </c>
    </row>
    <row r="43" spans="1:6" ht="15.75">
      <c r="A43" s="84" t="s">
        <v>159</v>
      </c>
      <c r="B43" s="218" t="s">
        <v>127</v>
      </c>
      <c r="C43" s="218" t="s">
        <v>170</v>
      </c>
      <c r="D43" s="219">
        <v>36097.6</v>
      </c>
      <c r="E43" s="219">
        <f>32371.8-39+1151+1.2+0.8</f>
        <v>33485.8</v>
      </c>
      <c r="F43" s="219">
        <f>D43-E43</f>
        <v>2611.7999999999956</v>
      </c>
    </row>
    <row r="44" spans="1:6" ht="15.75">
      <c r="A44" s="84" t="s">
        <v>331</v>
      </c>
      <c r="B44" s="218" t="s">
        <v>127</v>
      </c>
      <c r="C44" s="218" t="s">
        <v>130</v>
      </c>
      <c r="D44" s="219">
        <v>55.2</v>
      </c>
      <c r="E44" s="219">
        <v>55.2</v>
      </c>
      <c r="F44" s="219">
        <f>D44-E44</f>
        <v>0</v>
      </c>
    </row>
    <row r="45" spans="1:6" ht="15.75">
      <c r="A45" s="137" t="s">
        <v>162</v>
      </c>
      <c r="B45" s="220" t="s">
        <v>156</v>
      </c>
      <c r="C45" s="220"/>
      <c r="D45" s="221">
        <f>SUM(D46:D47)</f>
        <v>28197.199999999997</v>
      </c>
      <c r="E45" s="221">
        <f>SUM(E46:E47)</f>
        <v>27533.9</v>
      </c>
      <c r="F45" s="221">
        <f>SUM(F46:F47)</f>
        <v>663.2999999999993</v>
      </c>
    </row>
    <row r="46" spans="1:6" s="222" customFormat="1" ht="15.75">
      <c r="A46" s="84" t="s">
        <v>185</v>
      </c>
      <c r="B46" s="218" t="s">
        <v>156</v>
      </c>
      <c r="C46" s="218" t="s">
        <v>171</v>
      </c>
      <c r="D46" s="219">
        <v>5995.9</v>
      </c>
      <c r="E46" s="219">
        <f>5975.8-400-500-1341+2261.1+3100</f>
        <v>9095.9</v>
      </c>
      <c r="F46" s="219">
        <f>D46-E46</f>
        <v>-3100</v>
      </c>
    </row>
    <row r="47" spans="1:6" s="222" customFormat="1" ht="15.75">
      <c r="A47" s="227" t="s">
        <v>620</v>
      </c>
      <c r="B47" s="218" t="s">
        <v>156</v>
      </c>
      <c r="C47" s="218" t="s">
        <v>158</v>
      </c>
      <c r="D47" s="219">
        <f>21538+663.3+300-300</f>
        <v>22201.3</v>
      </c>
      <c r="E47" s="219">
        <f>21738-3600+300</f>
        <v>18438</v>
      </c>
      <c r="F47" s="219">
        <f>D47-E47</f>
        <v>3763.2999999999993</v>
      </c>
    </row>
    <row r="48" spans="1:6" ht="15.75">
      <c r="A48" s="137" t="s">
        <v>111</v>
      </c>
      <c r="B48" s="220" t="s">
        <v>123</v>
      </c>
      <c r="C48" s="220"/>
      <c r="D48" s="221">
        <f>D49</f>
        <v>9504.800000000001</v>
      </c>
      <c r="E48" s="221">
        <f>E49</f>
        <v>12155.2</v>
      </c>
      <c r="F48" s="221">
        <f>F49</f>
        <v>-2650.3999999999996</v>
      </c>
    </row>
    <row r="49" spans="1:6" s="222" customFormat="1" ht="15.75">
      <c r="A49" s="84" t="s">
        <v>385</v>
      </c>
      <c r="B49" s="218" t="s">
        <v>123</v>
      </c>
      <c r="C49" s="218" t="s">
        <v>157</v>
      </c>
      <c r="D49" s="219">
        <f>12155.2-2650.4</f>
        <v>9504.800000000001</v>
      </c>
      <c r="E49" s="219">
        <v>12155.2</v>
      </c>
      <c r="F49" s="219">
        <f>D49-E49</f>
        <v>-2650.3999999999996</v>
      </c>
    </row>
    <row r="50" spans="1:6" ht="15.75">
      <c r="A50" s="224" t="s">
        <v>143</v>
      </c>
      <c r="B50" s="225"/>
      <c r="C50" s="225"/>
      <c r="D50" s="226">
        <f>D6+D14+D16+D19+D25+D30+D32+D38+D40+D45+D48</f>
        <v>1684935.7130000002</v>
      </c>
      <c r="E50" s="226">
        <f>E6+E14+E16+E19+E25+E30+E32+E38+E40+E45+E48</f>
        <v>1678234.5939999996</v>
      </c>
      <c r="F50" s="226">
        <f>F6+F14+F16+F19+F25+F30+F32+F38+F40+F45+F48</f>
        <v>6701.119000000024</v>
      </c>
    </row>
    <row r="51" spans="4:6" ht="15.75">
      <c r="D51" s="329"/>
      <c r="E51" s="329"/>
      <c r="F51" s="329"/>
    </row>
    <row r="52" spans="4:6" ht="15.75">
      <c r="D52" s="330">
        <v>1682321545.94</v>
      </c>
      <c r="E52" s="329" t="s">
        <v>684</v>
      </c>
      <c r="F52" s="329"/>
    </row>
    <row r="53" spans="4:6" ht="15.75">
      <c r="D53" s="331">
        <v>2300000</v>
      </c>
      <c r="E53" s="373" t="s">
        <v>706</v>
      </c>
      <c r="F53" s="366"/>
    </row>
    <row r="54" spans="4:6" ht="15.75">
      <c r="D54" s="331">
        <v>2000000</v>
      </c>
      <c r="E54" s="329" t="s">
        <v>707</v>
      </c>
      <c r="F54" s="367"/>
    </row>
    <row r="55" spans="4:6" ht="15.75">
      <c r="D55" s="374">
        <f>496200+7390</f>
        <v>503590</v>
      </c>
      <c r="E55" s="329" t="s">
        <v>708</v>
      </c>
      <c r="F55" s="367"/>
    </row>
    <row r="56" spans="4:6" ht="15.75">
      <c r="D56" s="331">
        <v>461021.64</v>
      </c>
      <c r="E56" s="329" t="s">
        <v>709</v>
      </c>
      <c r="F56" s="367"/>
    </row>
    <row r="57" spans="4:6" ht="15.75">
      <c r="D57" s="331">
        <v>-663330</v>
      </c>
      <c r="E57" s="329" t="s">
        <v>710</v>
      </c>
      <c r="F57" s="367"/>
    </row>
    <row r="58" spans="4:6" ht="15.75">
      <c r="D58" s="331">
        <v>250000</v>
      </c>
      <c r="E58" s="329" t="s">
        <v>715</v>
      </c>
      <c r="F58" s="329"/>
    </row>
    <row r="59" spans="4:6" ht="15.75">
      <c r="D59" s="331">
        <v>663330</v>
      </c>
      <c r="E59" s="329" t="s">
        <v>716</v>
      </c>
      <c r="F59" s="329"/>
    </row>
    <row r="60" spans="4:6" ht="15.75">
      <c r="D60" s="331">
        <v>-2300000</v>
      </c>
      <c r="E60" s="329" t="s">
        <v>717</v>
      </c>
      <c r="F60" s="329"/>
    </row>
    <row r="61" spans="4:6" ht="15.75">
      <c r="D61" s="331">
        <v>-350400</v>
      </c>
      <c r="E61" s="329" t="s">
        <v>718</v>
      </c>
      <c r="F61" s="329"/>
    </row>
    <row r="62" spans="4:6" ht="15.75">
      <c r="D62" s="331">
        <v>370000</v>
      </c>
      <c r="E62" s="329" t="s">
        <v>719</v>
      </c>
      <c r="F62" s="367"/>
    </row>
    <row r="63" spans="4:6" ht="15.75">
      <c r="D63" s="331">
        <v>-620000</v>
      </c>
      <c r="E63" s="329" t="s">
        <v>720</v>
      </c>
      <c r="F63" s="367"/>
    </row>
    <row r="64" spans="4:6" ht="15.75">
      <c r="D64" s="331"/>
      <c r="E64" s="329"/>
      <c r="F64" s="367"/>
    </row>
    <row r="65" spans="4:6" ht="15.75" hidden="1">
      <c r="D65" s="365"/>
      <c r="E65" s="367"/>
      <c r="F65" s="367"/>
    </row>
    <row r="66" spans="4:6" ht="15.75" hidden="1">
      <c r="D66" s="365"/>
      <c r="E66" s="367"/>
      <c r="F66" s="367"/>
    </row>
    <row r="67" spans="4:6" ht="15.75" hidden="1">
      <c r="D67" s="365"/>
      <c r="E67" s="367"/>
      <c r="F67" s="367"/>
    </row>
    <row r="68" spans="4:6" ht="15.75" hidden="1">
      <c r="D68" s="365"/>
      <c r="E68" s="367"/>
      <c r="F68" s="367"/>
    </row>
    <row r="69" spans="4:6" ht="15.75" hidden="1">
      <c r="D69" s="365"/>
      <c r="E69" s="367"/>
      <c r="F69" s="367"/>
    </row>
    <row r="70" spans="4:6" ht="15.75" hidden="1">
      <c r="D70" s="365"/>
      <c r="E70" s="367"/>
      <c r="F70" s="367"/>
    </row>
    <row r="71" spans="4:6" ht="15.75" hidden="1">
      <c r="D71" s="365"/>
      <c r="E71" s="367"/>
      <c r="F71" s="367"/>
    </row>
    <row r="72" spans="4:6" ht="15.75" hidden="1">
      <c r="D72" s="365"/>
      <c r="E72" s="367"/>
      <c r="F72" s="367"/>
    </row>
    <row r="73" spans="4:6" ht="15.75" hidden="1">
      <c r="D73" s="365"/>
      <c r="E73" s="367"/>
      <c r="F73" s="367"/>
    </row>
    <row r="74" spans="4:6" ht="15.75" hidden="1">
      <c r="D74" s="365"/>
      <c r="E74" s="367"/>
      <c r="F74" s="367"/>
    </row>
    <row r="75" spans="4:6" ht="15.75" hidden="1">
      <c r="D75" s="365"/>
      <c r="E75" s="367"/>
      <c r="F75" s="367"/>
    </row>
    <row r="76" spans="4:6" ht="15.75">
      <c r="D76" s="365"/>
      <c r="E76" s="367"/>
      <c r="F76" s="367"/>
    </row>
    <row r="77" spans="4:6" ht="15.75">
      <c r="D77" s="365"/>
      <c r="E77" s="367"/>
      <c r="F77" s="367"/>
    </row>
    <row r="78" spans="4:7" ht="15.75">
      <c r="D78" s="365"/>
      <c r="E78" s="365">
        <f>D53+D54+D55+D56+D57+D58+D59+D60+D61+D62+D63+D64+D76+D77</f>
        <v>2614211.6399999997</v>
      </c>
      <c r="F78" s="365">
        <f>D58+D59+D60+D61+D62+D63+D64+D76+D77</f>
        <v>-1987070</v>
      </c>
      <c r="G78" s="328"/>
    </row>
    <row r="79" spans="4:6" ht="15.75">
      <c r="D79" s="368">
        <f>D52+D53+D54+D55+D56+D57+D58+D59+D60+D61+D62+D63+D64+D76+D77</f>
        <v>1684935757.5800002</v>
      </c>
      <c r="E79" s="369" t="s">
        <v>685</v>
      </c>
      <c r="F79" s="367"/>
    </row>
    <row r="80" spans="4:6" ht="15.75">
      <c r="D80" s="331"/>
      <c r="E80" s="329"/>
      <c r="F80" s="329"/>
    </row>
    <row r="81" ht="15.75">
      <c r="D81" s="325"/>
    </row>
    <row r="82" ht="15.75">
      <c r="D82" s="325"/>
    </row>
    <row r="83" ht="15.75">
      <c r="D83" s="325"/>
    </row>
    <row r="84" ht="15.75">
      <c r="D84" s="325"/>
    </row>
    <row r="85" ht="15.75">
      <c r="D85" s="326"/>
    </row>
    <row r="86" ht="15.75">
      <c r="D86" s="326"/>
    </row>
    <row r="87" ht="15.75">
      <c r="D87" s="32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Z1011"/>
  <sheetViews>
    <sheetView view="pageBreakPreview" zoomScale="80" zoomScaleSheetLayoutView="80" workbookViewId="0" topLeftCell="A1">
      <selection activeCell="AJ15" sqref="AJ15"/>
    </sheetView>
  </sheetViews>
  <sheetFormatPr defaultColWidth="9.00390625" defaultRowHeight="12.75"/>
  <cols>
    <col min="1" max="1" width="104.25390625" style="212" customWidth="1"/>
    <col min="2" max="3" width="4.25390625" style="213" customWidth="1"/>
    <col min="4" max="4" width="4.625" style="213" customWidth="1"/>
    <col min="5" max="5" width="17.00390625" style="213" customWidth="1"/>
    <col min="6" max="6" width="5.125" style="213" customWidth="1"/>
    <col min="7" max="7" width="16.875" style="214" customWidth="1"/>
    <col min="8" max="8" width="13.125" style="34" hidden="1" customWidth="1"/>
    <col min="9" max="9" width="13.25390625" style="34" hidden="1" customWidth="1"/>
    <col min="10" max="16" width="0" style="34" hidden="1" customWidth="1"/>
    <col min="17" max="17" width="12.375" style="22" hidden="1" customWidth="1"/>
    <col min="18" max="18" width="10.125" style="34" hidden="1" customWidth="1"/>
    <col min="19" max="22" width="0" style="34" hidden="1" customWidth="1"/>
    <col min="23" max="23" width="2.25390625" style="34" customWidth="1"/>
    <col min="24" max="26" width="9.125" style="34" customWidth="1"/>
    <col min="27" max="16384" width="9.125" style="5" customWidth="1"/>
  </cols>
  <sheetData>
    <row r="1" spans="1:26" s="13" customFormat="1" ht="15.75">
      <c r="A1" s="29"/>
      <c r="B1" s="30"/>
      <c r="C1" s="30"/>
      <c r="D1" s="385" t="s">
        <v>723</v>
      </c>
      <c r="E1" s="387"/>
      <c r="F1" s="387"/>
      <c r="G1" s="387"/>
      <c r="H1" s="31"/>
      <c r="I1" s="31"/>
      <c r="J1" s="31"/>
      <c r="K1" s="31"/>
      <c r="L1" s="31"/>
      <c r="M1" s="31"/>
      <c r="N1" s="31"/>
      <c r="O1" s="31"/>
      <c r="P1" s="31"/>
      <c r="Q1" s="32"/>
      <c r="R1" s="31"/>
      <c r="S1" s="31"/>
      <c r="T1" s="31"/>
      <c r="U1" s="31"/>
      <c r="V1" s="31"/>
      <c r="W1" s="31"/>
      <c r="X1" s="31"/>
      <c r="Y1" s="31"/>
      <c r="Z1" s="31"/>
    </row>
    <row r="2" spans="1:17" s="31" customFormat="1" ht="15.75">
      <c r="A2" s="29"/>
      <c r="B2" s="30"/>
      <c r="C2" s="30"/>
      <c r="D2" s="385" t="s">
        <v>140</v>
      </c>
      <c r="E2" s="387"/>
      <c r="F2" s="387"/>
      <c r="G2" s="387"/>
      <c r="Q2" s="32"/>
    </row>
    <row r="3" spans="1:17" s="31" customFormat="1" ht="15.75">
      <c r="A3" s="29"/>
      <c r="B3" s="30"/>
      <c r="C3" s="385" t="s">
        <v>430</v>
      </c>
      <c r="D3" s="386"/>
      <c r="E3" s="386"/>
      <c r="F3" s="386"/>
      <c r="G3" s="386"/>
      <c r="Q3" s="32"/>
    </row>
    <row r="4" spans="1:17" s="31" customFormat="1" ht="15.75">
      <c r="A4" s="29"/>
      <c r="B4" s="30"/>
      <c r="C4" s="385" t="s">
        <v>383</v>
      </c>
      <c r="D4" s="386"/>
      <c r="E4" s="386"/>
      <c r="F4" s="386"/>
      <c r="G4" s="386"/>
      <c r="Q4" s="32"/>
    </row>
    <row r="5" spans="1:17" s="31" customFormat="1" ht="15.75">
      <c r="A5" s="29"/>
      <c r="B5" s="30"/>
      <c r="C5" s="385" t="s">
        <v>703</v>
      </c>
      <c r="D5" s="387"/>
      <c r="E5" s="387"/>
      <c r="F5" s="387"/>
      <c r="G5" s="387"/>
      <c r="Q5" s="32"/>
    </row>
    <row r="6" spans="1:6" ht="15.75">
      <c r="A6" s="29"/>
      <c r="B6" s="375"/>
      <c r="C6" s="375"/>
      <c r="D6" s="375"/>
      <c r="E6" s="375"/>
      <c r="F6" s="375"/>
    </row>
    <row r="7" spans="1:26" s="13" customFormat="1" ht="15.75">
      <c r="A7" s="29"/>
      <c r="B7" s="30"/>
      <c r="C7" s="30"/>
      <c r="D7" s="385" t="s">
        <v>680</v>
      </c>
      <c r="E7" s="387"/>
      <c r="F7" s="387"/>
      <c r="G7" s="387"/>
      <c r="H7" s="31"/>
      <c r="I7" s="31"/>
      <c r="J7" s="31"/>
      <c r="K7" s="31"/>
      <c r="L7" s="31"/>
      <c r="M7" s="31"/>
      <c r="N7" s="31"/>
      <c r="O7" s="31"/>
      <c r="P7" s="31"/>
      <c r="Q7" s="32"/>
      <c r="R7" s="31"/>
      <c r="S7" s="31"/>
      <c r="T7" s="31"/>
      <c r="U7" s="31"/>
      <c r="V7" s="31"/>
      <c r="W7" s="31"/>
      <c r="X7" s="31"/>
      <c r="Y7" s="31"/>
      <c r="Z7" s="31"/>
    </row>
    <row r="8" spans="1:17" s="31" customFormat="1" ht="15.75">
      <c r="A8" s="29"/>
      <c r="B8" s="30"/>
      <c r="C8" s="30"/>
      <c r="D8" s="385" t="s">
        <v>140</v>
      </c>
      <c r="E8" s="387"/>
      <c r="F8" s="387"/>
      <c r="G8" s="387"/>
      <c r="Q8" s="32"/>
    </row>
    <row r="9" spans="1:17" s="31" customFormat="1" ht="15.75">
      <c r="A9" s="29"/>
      <c r="B9" s="30"/>
      <c r="C9" s="385" t="s">
        <v>430</v>
      </c>
      <c r="D9" s="386"/>
      <c r="E9" s="386"/>
      <c r="F9" s="386"/>
      <c r="G9" s="386"/>
      <c r="Q9" s="32"/>
    </row>
    <row r="10" spans="1:17" s="31" customFormat="1" ht="15.75">
      <c r="A10" s="29"/>
      <c r="B10" s="30"/>
      <c r="C10" s="385" t="s">
        <v>383</v>
      </c>
      <c r="D10" s="386"/>
      <c r="E10" s="386"/>
      <c r="F10" s="386"/>
      <c r="G10" s="386"/>
      <c r="Q10" s="32"/>
    </row>
    <row r="11" spans="1:17" s="31" customFormat="1" ht="15.75">
      <c r="A11" s="29"/>
      <c r="B11" s="30"/>
      <c r="C11" s="385" t="s">
        <v>672</v>
      </c>
      <c r="D11" s="387"/>
      <c r="E11" s="387"/>
      <c r="F11" s="387"/>
      <c r="G11" s="387"/>
      <c r="Q11" s="32"/>
    </row>
    <row r="12" spans="1:17" s="31" customFormat="1" ht="15.75">
      <c r="A12" s="29"/>
      <c r="B12" s="375"/>
      <c r="C12" s="375"/>
      <c r="D12" s="375"/>
      <c r="E12" s="33"/>
      <c r="F12" s="375"/>
      <c r="G12" s="30"/>
      <c r="Q12" s="32"/>
    </row>
    <row r="13" spans="1:17" s="34" customFormat="1" ht="22.5" customHeight="1">
      <c r="A13" s="388" t="s">
        <v>431</v>
      </c>
      <c r="B13" s="389"/>
      <c r="C13" s="389"/>
      <c r="D13" s="389"/>
      <c r="E13" s="389"/>
      <c r="F13" s="389"/>
      <c r="G13" s="388"/>
      <c r="Q13" s="22"/>
    </row>
    <row r="14" spans="1:17" s="34" customFormat="1" ht="15.75">
      <c r="A14" s="35"/>
      <c r="B14" s="36"/>
      <c r="C14" s="36"/>
      <c r="D14" s="36"/>
      <c r="E14" s="36"/>
      <c r="F14" s="36"/>
      <c r="G14" s="36"/>
      <c r="Q14" s="22"/>
    </row>
    <row r="15" spans="1:17" s="31" customFormat="1" ht="66" customHeight="1">
      <c r="A15" s="26" t="s">
        <v>146</v>
      </c>
      <c r="B15" s="37" t="s">
        <v>147</v>
      </c>
      <c r="C15" s="37" t="s">
        <v>148</v>
      </c>
      <c r="D15" s="37" t="s">
        <v>149</v>
      </c>
      <c r="E15" s="37" t="s">
        <v>145</v>
      </c>
      <c r="F15" s="37" t="s">
        <v>150</v>
      </c>
      <c r="G15" s="37" t="s">
        <v>133</v>
      </c>
      <c r="Q15" s="32"/>
    </row>
    <row r="16" spans="1:17" s="39" customFormat="1" ht="12.75" customHeight="1">
      <c r="A16" s="28">
        <v>1</v>
      </c>
      <c r="B16" s="38">
        <v>2</v>
      </c>
      <c r="C16" s="38">
        <v>3</v>
      </c>
      <c r="D16" s="38">
        <v>4</v>
      </c>
      <c r="E16" s="38">
        <v>5</v>
      </c>
      <c r="F16" s="38">
        <v>6</v>
      </c>
      <c r="G16" s="38" t="s">
        <v>132</v>
      </c>
      <c r="I16" s="384"/>
      <c r="J16" s="384"/>
      <c r="Q16" s="40"/>
    </row>
    <row r="17" spans="1:19" ht="15.75">
      <c r="A17" s="233" t="s">
        <v>518</v>
      </c>
      <c r="B17" s="108" t="s">
        <v>177</v>
      </c>
      <c r="C17" s="199"/>
      <c r="D17" s="199"/>
      <c r="E17" s="200"/>
      <c r="F17" s="199"/>
      <c r="G17" s="313">
        <f>G18+G125+G133+G165+G200+G207+G214</f>
        <v>109472.14</v>
      </c>
      <c r="H17" s="34">
        <v>152132.1</v>
      </c>
      <c r="J17" s="333"/>
      <c r="Q17" s="334" t="e">
        <f>G21+G26+G29+G33+G37+G42+G47+G52+G55+G62+G67+G70+G75+G80+G84+G91+G94+G98+G104+G108+G115+G121+G128+G137+G144+G148+G154+G159+G162+G168+G171+G174+G177+G182+#REF!+G185+G190+G197+G204+G211+G27</f>
        <v>#REF!</v>
      </c>
      <c r="R17" s="333" t="e">
        <f>G21+G26+G29+G33+G37+G42+G47+G52+G55+G62+G67+G70+G75+G80+G84+G91+G94+G98+G104+G108+G115+G121+G128+G137+G144+G148+G154+G159+G162+G168+G171+G174+G177+G182+#REF!+G185+G190+G197+G204+G211</f>
        <v>#REF!</v>
      </c>
      <c r="S17" s="333" t="e">
        <f>R17-G17</f>
        <v>#REF!</v>
      </c>
    </row>
    <row r="18" spans="1:18" ht="15.75">
      <c r="A18" s="234" t="s">
        <v>131</v>
      </c>
      <c r="B18" s="51"/>
      <c r="C18" s="45" t="s">
        <v>157</v>
      </c>
      <c r="D18" s="48"/>
      <c r="E18" s="49" t="s">
        <v>175</v>
      </c>
      <c r="F18" s="48"/>
      <c r="G18" s="58">
        <f>G19+G24+G65+G60</f>
        <v>90864.46399999999</v>
      </c>
      <c r="J18" s="333"/>
      <c r="Q18" s="34"/>
      <c r="R18" s="333"/>
    </row>
    <row r="19" spans="1:10" ht="15.75">
      <c r="A19" s="234" t="s">
        <v>206</v>
      </c>
      <c r="B19" s="51"/>
      <c r="C19" s="45" t="s">
        <v>157</v>
      </c>
      <c r="D19" s="45" t="s">
        <v>171</v>
      </c>
      <c r="E19" s="49"/>
      <c r="F19" s="66"/>
      <c r="G19" s="58">
        <f>G20</f>
        <v>3517.2</v>
      </c>
      <c r="J19" s="333"/>
    </row>
    <row r="20" spans="1:18" ht="31.5">
      <c r="A20" s="234" t="s">
        <v>461</v>
      </c>
      <c r="B20" s="51"/>
      <c r="C20" s="45" t="s">
        <v>157</v>
      </c>
      <c r="D20" s="45" t="s">
        <v>171</v>
      </c>
      <c r="E20" s="52" t="s">
        <v>41</v>
      </c>
      <c r="F20" s="77"/>
      <c r="G20" s="58">
        <f>G21</f>
        <v>3517.2</v>
      </c>
      <c r="J20" s="333"/>
      <c r="K20" s="333"/>
      <c r="R20" s="333"/>
    </row>
    <row r="21" spans="1:24" ht="15.75">
      <c r="A21" s="235" t="s">
        <v>115</v>
      </c>
      <c r="B21" s="51"/>
      <c r="C21" s="48" t="s">
        <v>157</v>
      </c>
      <c r="D21" s="48" t="s">
        <v>171</v>
      </c>
      <c r="E21" s="49" t="s">
        <v>42</v>
      </c>
      <c r="F21" s="66"/>
      <c r="G21" s="62">
        <f>G22</f>
        <v>3517.2</v>
      </c>
      <c r="J21" s="333"/>
      <c r="K21" s="333"/>
      <c r="Q21" s="334"/>
      <c r="R21" s="333">
        <f>G21+G37</f>
        <v>47945.2</v>
      </c>
      <c r="S21" s="34" t="s">
        <v>612</v>
      </c>
      <c r="T21" s="333">
        <f>G21+G37+G226+G268+G272+G449+G501+G814+G818+G827+G764</f>
        <v>124061.978</v>
      </c>
      <c r="V21" s="333">
        <f>G21+G37+G226+G268+G272+G449+G501+G764+G814+G818+G827</f>
        <v>124061.978</v>
      </c>
      <c r="X21" s="333"/>
    </row>
    <row r="22" spans="1:19" ht="47.25">
      <c r="A22" s="236" t="s">
        <v>116</v>
      </c>
      <c r="B22" s="51"/>
      <c r="C22" s="48" t="s">
        <v>157</v>
      </c>
      <c r="D22" s="48" t="s">
        <v>171</v>
      </c>
      <c r="E22" s="49" t="s">
        <v>42</v>
      </c>
      <c r="F22" s="56" t="s">
        <v>198</v>
      </c>
      <c r="G22" s="62">
        <f>G23</f>
        <v>3517.2</v>
      </c>
      <c r="J22" s="333"/>
      <c r="R22" s="333">
        <f>G226</f>
        <v>13524.800000000001</v>
      </c>
      <c r="S22" s="34" t="s">
        <v>613</v>
      </c>
    </row>
    <row r="23" spans="1:19" ht="15.75">
      <c r="A23" s="237" t="s">
        <v>193</v>
      </c>
      <c r="B23" s="51"/>
      <c r="C23" s="48" t="s">
        <v>157</v>
      </c>
      <c r="D23" s="48" t="s">
        <v>171</v>
      </c>
      <c r="E23" s="49" t="s">
        <v>42</v>
      </c>
      <c r="F23" s="56" t="s">
        <v>194</v>
      </c>
      <c r="G23" s="62">
        <v>3517.2</v>
      </c>
      <c r="J23" s="333"/>
      <c r="R23" s="333">
        <f>G268+G272</f>
        <v>6475.7</v>
      </c>
      <c r="S23" s="34" t="s">
        <v>614</v>
      </c>
    </row>
    <row r="24" spans="1:21" ht="31.5">
      <c r="A24" s="234" t="s">
        <v>205</v>
      </c>
      <c r="B24" s="47"/>
      <c r="C24" s="45" t="s">
        <v>157</v>
      </c>
      <c r="D24" s="45" t="s">
        <v>170</v>
      </c>
      <c r="E24" s="52" t="s">
        <v>175</v>
      </c>
      <c r="F24" s="57"/>
      <c r="G24" s="58">
        <f>G25+G36+G32</f>
        <v>48979.299999999996</v>
      </c>
      <c r="Q24" s="334">
        <f>G24+G499+G742+G825</f>
        <v>55215.4</v>
      </c>
      <c r="R24" s="333"/>
      <c r="U24" s="333">
        <f>G24+G499+G742+G825</f>
        <v>55215.4</v>
      </c>
    </row>
    <row r="25" spans="1:26" s="16" customFormat="1" ht="31.5">
      <c r="A25" s="234" t="s">
        <v>474</v>
      </c>
      <c r="B25" s="51"/>
      <c r="C25" s="45" t="s">
        <v>157</v>
      </c>
      <c r="D25" s="45" t="s">
        <v>170</v>
      </c>
      <c r="E25" s="52" t="s">
        <v>43</v>
      </c>
      <c r="F25" s="57"/>
      <c r="G25" s="58">
        <f>G26+G29</f>
        <v>1175.5</v>
      </c>
      <c r="H25" s="293"/>
      <c r="I25" s="293"/>
      <c r="J25" s="335"/>
      <c r="K25" s="293"/>
      <c r="L25" s="293"/>
      <c r="M25" s="293"/>
      <c r="N25" s="293"/>
      <c r="O25" s="293"/>
      <c r="P25" s="293"/>
      <c r="Q25" s="222"/>
      <c r="R25" s="293"/>
      <c r="S25" s="293"/>
      <c r="T25" s="293"/>
      <c r="U25" s="293"/>
      <c r="V25" s="293"/>
      <c r="W25" s="293"/>
      <c r="X25" s="335"/>
      <c r="Y25" s="335"/>
      <c r="Z25" s="293"/>
    </row>
    <row r="26" spans="1:10" ht="15.75">
      <c r="A26" s="235" t="s">
        <v>115</v>
      </c>
      <c r="B26" s="47"/>
      <c r="C26" s="48" t="s">
        <v>157</v>
      </c>
      <c r="D26" s="48" t="s">
        <v>170</v>
      </c>
      <c r="E26" s="49" t="s">
        <v>44</v>
      </c>
      <c r="F26" s="56"/>
      <c r="G26" s="62">
        <f>G27</f>
        <v>1140</v>
      </c>
      <c r="J26" s="333"/>
    </row>
    <row r="27" spans="1:7" ht="15.75">
      <c r="A27" s="237" t="s">
        <v>226</v>
      </c>
      <c r="B27" s="47"/>
      <c r="C27" s="48" t="s">
        <v>157</v>
      </c>
      <c r="D27" s="48" t="s">
        <v>170</v>
      </c>
      <c r="E27" s="49" t="s">
        <v>44</v>
      </c>
      <c r="F27" s="56" t="s">
        <v>188</v>
      </c>
      <c r="G27" s="62">
        <f>SUM(G28)</f>
        <v>1140</v>
      </c>
    </row>
    <row r="28" spans="1:10" ht="15.75">
      <c r="A28" s="237" t="s">
        <v>189</v>
      </c>
      <c r="B28" s="47"/>
      <c r="C28" s="48" t="s">
        <v>157</v>
      </c>
      <c r="D28" s="48" t="s">
        <v>170</v>
      </c>
      <c r="E28" s="49" t="s">
        <v>44</v>
      </c>
      <c r="F28" s="56" t="s">
        <v>187</v>
      </c>
      <c r="G28" s="62">
        <v>1140</v>
      </c>
      <c r="I28" s="384"/>
      <c r="J28" s="384"/>
    </row>
    <row r="29" spans="1:9" ht="15.75">
      <c r="A29" s="238" t="s">
        <v>117</v>
      </c>
      <c r="B29" s="47"/>
      <c r="C29" s="48" t="s">
        <v>157</v>
      </c>
      <c r="D29" s="48" t="s">
        <v>170</v>
      </c>
      <c r="E29" s="75" t="s">
        <v>45</v>
      </c>
      <c r="F29" s="56"/>
      <c r="G29" s="62">
        <f>G30</f>
        <v>35.5</v>
      </c>
      <c r="I29" s="333"/>
    </row>
    <row r="30" spans="1:10" ht="15.75">
      <c r="A30" s="237" t="s">
        <v>226</v>
      </c>
      <c r="B30" s="47"/>
      <c r="C30" s="48" t="s">
        <v>157</v>
      </c>
      <c r="D30" s="48" t="s">
        <v>170</v>
      </c>
      <c r="E30" s="75" t="s">
        <v>45</v>
      </c>
      <c r="F30" s="56" t="s">
        <v>188</v>
      </c>
      <c r="G30" s="62">
        <f>G31</f>
        <v>35.5</v>
      </c>
      <c r="I30" s="384"/>
      <c r="J30" s="384"/>
    </row>
    <row r="31" spans="1:9" ht="15.75">
      <c r="A31" s="237" t="s">
        <v>189</v>
      </c>
      <c r="B31" s="55"/>
      <c r="C31" s="48" t="s">
        <v>157</v>
      </c>
      <c r="D31" s="48" t="s">
        <v>170</v>
      </c>
      <c r="E31" s="75" t="s">
        <v>45</v>
      </c>
      <c r="F31" s="56" t="s">
        <v>187</v>
      </c>
      <c r="G31" s="62">
        <v>35.5</v>
      </c>
      <c r="I31" s="333"/>
    </row>
    <row r="32" spans="1:10" ht="27" customHeight="1">
      <c r="A32" s="239" t="s">
        <v>437</v>
      </c>
      <c r="B32" s="54"/>
      <c r="C32" s="45" t="s">
        <v>157</v>
      </c>
      <c r="D32" s="45" t="s">
        <v>170</v>
      </c>
      <c r="E32" s="52" t="s">
        <v>13</v>
      </c>
      <c r="F32" s="57"/>
      <c r="G32" s="58">
        <f>G33</f>
        <v>35</v>
      </c>
      <c r="I32" s="384"/>
      <c r="J32" s="384"/>
    </row>
    <row r="33" spans="1:9" ht="15.75">
      <c r="A33" s="238" t="s">
        <v>122</v>
      </c>
      <c r="B33" s="47"/>
      <c r="C33" s="48" t="s">
        <v>157</v>
      </c>
      <c r="D33" s="48" t="s">
        <v>170</v>
      </c>
      <c r="E33" s="75" t="s">
        <v>277</v>
      </c>
      <c r="F33" s="56"/>
      <c r="G33" s="62">
        <f>G34</f>
        <v>35</v>
      </c>
      <c r="I33" s="333"/>
    </row>
    <row r="34" spans="1:10" ht="15.75">
      <c r="A34" s="237" t="s">
        <v>226</v>
      </c>
      <c r="B34" s="47"/>
      <c r="C34" s="48" t="s">
        <v>157</v>
      </c>
      <c r="D34" s="48" t="s">
        <v>170</v>
      </c>
      <c r="E34" s="75" t="s">
        <v>277</v>
      </c>
      <c r="F34" s="56" t="s">
        <v>188</v>
      </c>
      <c r="G34" s="62">
        <f>G35</f>
        <v>35</v>
      </c>
      <c r="I34" s="384"/>
      <c r="J34" s="384"/>
    </row>
    <row r="35" spans="1:9" ht="15.75">
      <c r="A35" s="237" t="s">
        <v>189</v>
      </c>
      <c r="B35" s="55"/>
      <c r="C35" s="48" t="s">
        <v>157</v>
      </c>
      <c r="D35" s="48" t="s">
        <v>170</v>
      </c>
      <c r="E35" s="75" t="s">
        <v>277</v>
      </c>
      <c r="F35" s="56" t="s">
        <v>187</v>
      </c>
      <c r="G35" s="62">
        <v>35</v>
      </c>
      <c r="I35" s="333"/>
    </row>
    <row r="36" spans="1:9" ht="31.5">
      <c r="A36" s="234" t="s">
        <v>461</v>
      </c>
      <c r="B36" s="51"/>
      <c r="C36" s="45" t="s">
        <v>157</v>
      </c>
      <c r="D36" s="45" t="s">
        <v>170</v>
      </c>
      <c r="E36" s="52" t="s">
        <v>41</v>
      </c>
      <c r="F36" s="57"/>
      <c r="G36" s="58">
        <f>G37+G42+G52+G55+G47</f>
        <v>47768.799999999996</v>
      </c>
      <c r="H36" s="34">
        <v>30436.4</v>
      </c>
      <c r="I36" s="333"/>
    </row>
    <row r="37" spans="1:19" ht="15.75">
      <c r="A37" s="235" t="s">
        <v>115</v>
      </c>
      <c r="B37" s="51"/>
      <c r="C37" s="48" t="s">
        <v>157</v>
      </c>
      <c r="D37" s="48" t="s">
        <v>170</v>
      </c>
      <c r="E37" s="49" t="s">
        <v>42</v>
      </c>
      <c r="F37" s="56"/>
      <c r="G37" s="62">
        <f>G38+G40</f>
        <v>44428</v>
      </c>
      <c r="R37" s="333">
        <f>G449</f>
        <v>29197.69</v>
      </c>
      <c r="S37" s="34" t="s">
        <v>615</v>
      </c>
    </row>
    <row r="38" spans="1:19" ht="47.25">
      <c r="A38" s="237" t="s">
        <v>116</v>
      </c>
      <c r="B38" s="51"/>
      <c r="C38" s="48" t="s">
        <v>157</v>
      </c>
      <c r="D38" s="48" t="s">
        <v>170</v>
      </c>
      <c r="E38" s="49" t="s">
        <v>42</v>
      </c>
      <c r="F38" s="56" t="s">
        <v>198</v>
      </c>
      <c r="G38" s="62">
        <f>G39</f>
        <v>43670.7</v>
      </c>
      <c r="R38" s="333">
        <f>G501</f>
        <v>338.5</v>
      </c>
      <c r="S38" s="34" t="s">
        <v>616</v>
      </c>
    </row>
    <row r="39" spans="1:19" ht="15.75">
      <c r="A39" s="237" t="s">
        <v>193</v>
      </c>
      <c r="B39" s="55"/>
      <c r="C39" s="48" t="s">
        <v>157</v>
      </c>
      <c r="D39" s="48" t="s">
        <v>170</v>
      </c>
      <c r="E39" s="49" t="s">
        <v>42</v>
      </c>
      <c r="F39" s="56" t="s">
        <v>194</v>
      </c>
      <c r="G39" s="62">
        <v>43670.7</v>
      </c>
      <c r="R39" s="333">
        <f>G764</f>
        <v>100</v>
      </c>
      <c r="S39" s="34" t="s">
        <v>617</v>
      </c>
    </row>
    <row r="40" spans="1:19" ht="15.75">
      <c r="A40" s="237" t="s">
        <v>226</v>
      </c>
      <c r="B40" s="55"/>
      <c r="C40" s="48" t="s">
        <v>157</v>
      </c>
      <c r="D40" s="48" t="s">
        <v>170</v>
      </c>
      <c r="E40" s="49" t="s">
        <v>42</v>
      </c>
      <c r="F40" s="56" t="s">
        <v>188</v>
      </c>
      <c r="G40" s="62">
        <f>G41</f>
        <v>757.3</v>
      </c>
      <c r="R40" s="333">
        <f>G814+G818</f>
        <v>23840.788</v>
      </c>
      <c r="S40" s="34" t="s">
        <v>618</v>
      </c>
    </row>
    <row r="41" spans="1:19" ht="15.75">
      <c r="A41" s="237" t="s">
        <v>189</v>
      </c>
      <c r="B41" s="55"/>
      <c r="C41" s="48" t="s">
        <v>157</v>
      </c>
      <c r="D41" s="48" t="s">
        <v>170</v>
      </c>
      <c r="E41" s="49" t="s">
        <v>42</v>
      </c>
      <c r="F41" s="56" t="s">
        <v>187</v>
      </c>
      <c r="G41" s="62">
        <v>757.3</v>
      </c>
      <c r="R41" s="333">
        <f>G827</f>
        <v>2639.3</v>
      </c>
      <c r="S41" s="34" t="s">
        <v>619</v>
      </c>
    </row>
    <row r="42" spans="1:7" ht="31.5">
      <c r="A42" s="310" t="s">
        <v>119</v>
      </c>
      <c r="B42" s="51"/>
      <c r="C42" s="48" t="s">
        <v>157</v>
      </c>
      <c r="D42" s="48" t="s">
        <v>170</v>
      </c>
      <c r="E42" s="49" t="s">
        <v>260</v>
      </c>
      <c r="F42" s="56"/>
      <c r="G42" s="62">
        <f>G43+G45</f>
        <v>1880.75</v>
      </c>
    </row>
    <row r="43" spans="1:7" ht="47.25">
      <c r="A43" s="237" t="s">
        <v>116</v>
      </c>
      <c r="B43" s="51"/>
      <c r="C43" s="48" t="s">
        <v>157</v>
      </c>
      <c r="D43" s="48" t="s">
        <v>170</v>
      </c>
      <c r="E43" s="49" t="s">
        <v>260</v>
      </c>
      <c r="F43" s="56" t="s">
        <v>198</v>
      </c>
      <c r="G43" s="62">
        <f>G44</f>
        <v>1740.75</v>
      </c>
    </row>
    <row r="44" spans="1:7" ht="15.75">
      <c r="A44" s="237" t="s">
        <v>193</v>
      </c>
      <c r="B44" s="55"/>
      <c r="C44" s="48" t="s">
        <v>157</v>
      </c>
      <c r="D44" s="48" t="s">
        <v>170</v>
      </c>
      <c r="E44" s="49" t="s">
        <v>260</v>
      </c>
      <c r="F44" s="56" t="s">
        <v>194</v>
      </c>
      <c r="G44" s="62">
        <f>1601.15+139.6</f>
        <v>1740.75</v>
      </c>
    </row>
    <row r="45" spans="1:7" ht="15.75">
      <c r="A45" s="237" t="s">
        <v>226</v>
      </c>
      <c r="B45" s="55"/>
      <c r="C45" s="48" t="s">
        <v>157</v>
      </c>
      <c r="D45" s="48" t="s">
        <v>170</v>
      </c>
      <c r="E45" s="49" t="s">
        <v>260</v>
      </c>
      <c r="F45" s="56" t="s">
        <v>188</v>
      </c>
      <c r="G45" s="62">
        <f>G46</f>
        <v>140</v>
      </c>
    </row>
    <row r="46" spans="1:7" ht="26.25" customHeight="1">
      <c r="A46" s="237" t="s">
        <v>189</v>
      </c>
      <c r="B46" s="55"/>
      <c r="C46" s="48" t="s">
        <v>157</v>
      </c>
      <c r="D46" s="48" t="s">
        <v>170</v>
      </c>
      <c r="E46" s="49" t="s">
        <v>260</v>
      </c>
      <c r="F46" s="56" t="s">
        <v>187</v>
      </c>
      <c r="G46" s="62">
        <v>140</v>
      </c>
    </row>
    <row r="47" spans="1:7" ht="15.75">
      <c r="A47" s="238" t="s">
        <v>99</v>
      </c>
      <c r="B47" s="47"/>
      <c r="C47" s="48" t="s">
        <v>157</v>
      </c>
      <c r="D47" s="48" t="s">
        <v>170</v>
      </c>
      <c r="E47" s="75" t="s">
        <v>340</v>
      </c>
      <c r="F47" s="56"/>
      <c r="G47" s="62">
        <f>G48+G50</f>
        <v>975.6</v>
      </c>
    </row>
    <row r="48" spans="1:7" ht="47.25">
      <c r="A48" s="237" t="s">
        <v>116</v>
      </c>
      <c r="B48" s="47"/>
      <c r="C48" s="48" t="s">
        <v>157</v>
      </c>
      <c r="D48" s="48" t="s">
        <v>170</v>
      </c>
      <c r="E48" s="75" t="s">
        <v>340</v>
      </c>
      <c r="F48" s="56" t="s">
        <v>198</v>
      </c>
      <c r="G48" s="62">
        <f>G49</f>
        <v>800.6</v>
      </c>
    </row>
    <row r="49" spans="1:7" ht="15.75">
      <c r="A49" s="237" t="s">
        <v>193</v>
      </c>
      <c r="B49" s="47"/>
      <c r="C49" s="48" t="s">
        <v>157</v>
      </c>
      <c r="D49" s="48" t="s">
        <v>170</v>
      </c>
      <c r="E49" s="75" t="s">
        <v>340</v>
      </c>
      <c r="F49" s="56" t="s">
        <v>194</v>
      </c>
      <c r="G49" s="62">
        <v>800.6</v>
      </c>
    </row>
    <row r="50" spans="1:7" ht="15.75">
      <c r="A50" s="237" t="s">
        <v>226</v>
      </c>
      <c r="B50" s="47"/>
      <c r="C50" s="48" t="s">
        <v>157</v>
      </c>
      <c r="D50" s="48" t="s">
        <v>170</v>
      </c>
      <c r="E50" s="75" t="s">
        <v>340</v>
      </c>
      <c r="F50" s="56" t="s">
        <v>188</v>
      </c>
      <c r="G50" s="62">
        <f>G51</f>
        <v>175</v>
      </c>
    </row>
    <row r="51" spans="1:7" ht="15.75">
      <c r="A51" s="237" t="s">
        <v>189</v>
      </c>
      <c r="B51" s="55"/>
      <c r="C51" s="48" t="s">
        <v>157</v>
      </c>
      <c r="D51" s="48" t="s">
        <v>170</v>
      </c>
      <c r="E51" s="75" t="s">
        <v>340</v>
      </c>
      <c r="F51" s="56" t="s">
        <v>187</v>
      </c>
      <c r="G51" s="62">
        <v>175</v>
      </c>
    </row>
    <row r="52" spans="1:7" ht="47.25">
      <c r="A52" s="237" t="s">
        <v>120</v>
      </c>
      <c r="B52" s="47"/>
      <c r="C52" s="48" t="s">
        <v>157</v>
      </c>
      <c r="D52" s="48" t="s">
        <v>170</v>
      </c>
      <c r="E52" s="75" t="s">
        <v>46</v>
      </c>
      <c r="F52" s="56"/>
      <c r="G52" s="62">
        <f>G53</f>
        <v>7</v>
      </c>
    </row>
    <row r="53" spans="1:7" ht="15.75">
      <c r="A53" s="237" t="s">
        <v>226</v>
      </c>
      <c r="B53" s="47"/>
      <c r="C53" s="48" t="s">
        <v>157</v>
      </c>
      <c r="D53" s="48" t="s">
        <v>170</v>
      </c>
      <c r="E53" s="75" t="s">
        <v>46</v>
      </c>
      <c r="F53" s="56" t="s">
        <v>188</v>
      </c>
      <c r="G53" s="62">
        <f>G54</f>
        <v>7</v>
      </c>
    </row>
    <row r="54" spans="1:7" ht="15.75">
      <c r="A54" s="237" t="s">
        <v>189</v>
      </c>
      <c r="B54" s="55"/>
      <c r="C54" s="48" t="s">
        <v>157</v>
      </c>
      <c r="D54" s="48" t="s">
        <v>170</v>
      </c>
      <c r="E54" s="75" t="s">
        <v>46</v>
      </c>
      <c r="F54" s="56" t="s">
        <v>187</v>
      </c>
      <c r="G54" s="62">
        <v>7</v>
      </c>
    </row>
    <row r="55" spans="1:7" ht="15.75">
      <c r="A55" s="310" t="s">
        <v>118</v>
      </c>
      <c r="B55" s="51"/>
      <c r="C55" s="48" t="s">
        <v>157</v>
      </c>
      <c r="D55" s="48" t="s">
        <v>170</v>
      </c>
      <c r="E55" s="49" t="s">
        <v>47</v>
      </c>
      <c r="F55" s="56"/>
      <c r="G55" s="62">
        <f>G56+G58</f>
        <v>477.45</v>
      </c>
    </row>
    <row r="56" spans="1:7" ht="47.25">
      <c r="A56" s="237" t="s">
        <v>116</v>
      </c>
      <c r="B56" s="51"/>
      <c r="C56" s="48" t="s">
        <v>157</v>
      </c>
      <c r="D56" s="48" t="s">
        <v>170</v>
      </c>
      <c r="E56" s="49" t="s">
        <v>47</v>
      </c>
      <c r="F56" s="56" t="s">
        <v>198</v>
      </c>
      <c r="G56" s="62">
        <f>G57</f>
        <v>442.45</v>
      </c>
    </row>
    <row r="57" spans="1:7" ht="15.75">
      <c r="A57" s="237" t="s">
        <v>193</v>
      </c>
      <c r="B57" s="55"/>
      <c r="C57" s="48" t="s">
        <v>157</v>
      </c>
      <c r="D57" s="48" t="s">
        <v>170</v>
      </c>
      <c r="E57" s="49" t="s">
        <v>47</v>
      </c>
      <c r="F57" s="56" t="s">
        <v>194</v>
      </c>
      <c r="G57" s="62">
        <f>400.25+42.2</f>
        <v>442.45</v>
      </c>
    </row>
    <row r="58" spans="1:7" ht="15.75">
      <c r="A58" s="237" t="s">
        <v>226</v>
      </c>
      <c r="B58" s="55"/>
      <c r="C58" s="48" t="s">
        <v>157</v>
      </c>
      <c r="D58" s="48" t="s">
        <v>170</v>
      </c>
      <c r="E58" s="49" t="s">
        <v>47</v>
      </c>
      <c r="F58" s="56" t="s">
        <v>188</v>
      </c>
      <c r="G58" s="62">
        <f>G59</f>
        <v>35</v>
      </c>
    </row>
    <row r="59" spans="1:17" ht="15.75">
      <c r="A59" s="237" t="s">
        <v>189</v>
      </c>
      <c r="B59" s="55"/>
      <c r="C59" s="48" t="s">
        <v>157</v>
      </c>
      <c r="D59" s="48" t="s">
        <v>170</v>
      </c>
      <c r="E59" s="49" t="s">
        <v>47</v>
      </c>
      <c r="F59" s="56" t="s">
        <v>187</v>
      </c>
      <c r="G59" s="62">
        <v>35</v>
      </c>
      <c r="Q59" s="334"/>
    </row>
    <row r="60" spans="1:7" ht="15.75">
      <c r="A60" s="239" t="s">
        <v>246</v>
      </c>
      <c r="B60" s="55"/>
      <c r="C60" s="45" t="s">
        <v>157</v>
      </c>
      <c r="D60" s="45" t="s">
        <v>172</v>
      </c>
      <c r="E60" s="52"/>
      <c r="F60" s="57"/>
      <c r="G60" s="58">
        <f>G61</f>
        <v>1.3</v>
      </c>
    </row>
    <row r="61" spans="1:7" ht="31.5">
      <c r="A61" s="234" t="s">
        <v>461</v>
      </c>
      <c r="B61" s="55"/>
      <c r="C61" s="45" t="s">
        <v>157</v>
      </c>
      <c r="D61" s="45" t="s">
        <v>172</v>
      </c>
      <c r="E61" s="52" t="s">
        <v>41</v>
      </c>
      <c r="F61" s="57"/>
      <c r="G61" s="58">
        <f>G62</f>
        <v>1.3</v>
      </c>
    </row>
    <row r="62" spans="1:7" ht="31.5">
      <c r="A62" s="240" t="s">
        <v>247</v>
      </c>
      <c r="B62" s="55"/>
      <c r="C62" s="48" t="s">
        <v>157</v>
      </c>
      <c r="D62" s="48" t="s">
        <v>172</v>
      </c>
      <c r="E62" s="49" t="s">
        <v>248</v>
      </c>
      <c r="F62" s="56"/>
      <c r="G62" s="62">
        <f>G63</f>
        <v>1.3</v>
      </c>
    </row>
    <row r="63" spans="1:7" ht="15.75">
      <c r="A63" s="237" t="s">
        <v>226</v>
      </c>
      <c r="B63" s="55"/>
      <c r="C63" s="48" t="s">
        <v>157</v>
      </c>
      <c r="D63" s="48" t="s">
        <v>172</v>
      </c>
      <c r="E63" s="49" t="s">
        <v>248</v>
      </c>
      <c r="F63" s="56" t="s">
        <v>188</v>
      </c>
      <c r="G63" s="62">
        <f>G64</f>
        <v>1.3</v>
      </c>
    </row>
    <row r="64" spans="1:7" ht="15.75">
      <c r="A64" s="237" t="s">
        <v>189</v>
      </c>
      <c r="B64" s="55"/>
      <c r="C64" s="48" t="s">
        <v>157</v>
      </c>
      <c r="D64" s="48" t="s">
        <v>172</v>
      </c>
      <c r="E64" s="49" t="s">
        <v>248</v>
      </c>
      <c r="F64" s="56" t="s">
        <v>187</v>
      </c>
      <c r="G64" s="62">
        <v>1.3</v>
      </c>
    </row>
    <row r="65" spans="1:18" ht="15.75">
      <c r="A65" s="234" t="s">
        <v>142</v>
      </c>
      <c r="B65" s="55"/>
      <c r="C65" s="45" t="s">
        <v>157</v>
      </c>
      <c r="D65" s="45" t="s">
        <v>123</v>
      </c>
      <c r="E65" s="52" t="s">
        <v>175</v>
      </c>
      <c r="F65" s="57" t="s">
        <v>175</v>
      </c>
      <c r="G65" s="58">
        <f>G73+G107+G103+G66+G120</f>
        <v>38366.664</v>
      </c>
      <c r="Q65" s="334">
        <f>G65+G240+G506+G749+G762</f>
        <v>96487.037</v>
      </c>
      <c r="R65" s="333">
        <f>G65+G506+G749+G762+G277+G240</f>
        <v>97207.037</v>
      </c>
    </row>
    <row r="66" spans="1:17" ht="31.5">
      <c r="A66" s="234" t="s">
        <v>474</v>
      </c>
      <c r="B66" s="110"/>
      <c r="C66" s="45" t="s">
        <v>157</v>
      </c>
      <c r="D66" s="45" t="s">
        <v>123</v>
      </c>
      <c r="E66" s="52" t="s">
        <v>43</v>
      </c>
      <c r="F66" s="57"/>
      <c r="G66" s="58">
        <f>G67+G70</f>
        <v>8043.7</v>
      </c>
      <c r="Q66" s="334"/>
    </row>
    <row r="67" spans="1:17" ht="47.25">
      <c r="A67" s="235" t="s">
        <v>476</v>
      </c>
      <c r="B67" s="55"/>
      <c r="C67" s="48" t="s">
        <v>157</v>
      </c>
      <c r="D67" s="48" t="s">
        <v>123</v>
      </c>
      <c r="E67" s="49" t="s">
        <v>475</v>
      </c>
      <c r="F67" s="56"/>
      <c r="G67" s="58">
        <f>G68</f>
        <v>2167.7</v>
      </c>
      <c r="Q67" s="334"/>
    </row>
    <row r="68" spans="1:17" ht="15.75">
      <c r="A68" s="235" t="s">
        <v>89</v>
      </c>
      <c r="B68" s="55"/>
      <c r="C68" s="48" t="s">
        <v>157</v>
      </c>
      <c r="D68" s="48" t="s">
        <v>123</v>
      </c>
      <c r="E68" s="49" t="s">
        <v>475</v>
      </c>
      <c r="F68" s="56" t="s">
        <v>85</v>
      </c>
      <c r="G68" s="62">
        <f>G69</f>
        <v>2167.7</v>
      </c>
      <c r="Q68" s="334"/>
    </row>
    <row r="69" spans="1:17" ht="15.75">
      <c r="A69" s="235" t="s">
        <v>84</v>
      </c>
      <c r="B69" s="55"/>
      <c r="C69" s="48" t="s">
        <v>157</v>
      </c>
      <c r="D69" s="48" t="s">
        <v>123</v>
      </c>
      <c r="E69" s="49" t="s">
        <v>475</v>
      </c>
      <c r="F69" s="56" t="s">
        <v>86</v>
      </c>
      <c r="G69" s="62">
        <v>2167.7</v>
      </c>
      <c r="Q69" s="334"/>
    </row>
    <row r="70" spans="1:17" ht="47.25">
      <c r="A70" s="235" t="s">
        <v>478</v>
      </c>
      <c r="B70" s="110"/>
      <c r="C70" s="48" t="s">
        <v>157</v>
      </c>
      <c r="D70" s="48" t="s">
        <v>123</v>
      </c>
      <c r="E70" s="49" t="s">
        <v>477</v>
      </c>
      <c r="F70" s="56"/>
      <c r="G70" s="58">
        <f>G71</f>
        <v>5876</v>
      </c>
      <c r="Q70" s="334"/>
    </row>
    <row r="71" spans="1:17" ht="15.75">
      <c r="A71" s="235" t="s">
        <v>89</v>
      </c>
      <c r="B71" s="110"/>
      <c r="C71" s="48" t="s">
        <v>157</v>
      </c>
      <c r="D71" s="48" t="s">
        <v>123</v>
      </c>
      <c r="E71" s="49" t="s">
        <v>477</v>
      </c>
      <c r="F71" s="56" t="s">
        <v>85</v>
      </c>
      <c r="G71" s="62">
        <f>G72</f>
        <v>5876</v>
      </c>
      <c r="Q71" s="334"/>
    </row>
    <row r="72" spans="1:17" ht="15.75">
      <c r="A72" s="235" t="s">
        <v>84</v>
      </c>
      <c r="B72" s="55"/>
      <c r="C72" s="48" t="s">
        <v>157</v>
      </c>
      <c r="D72" s="48" t="s">
        <v>123</v>
      </c>
      <c r="E72" s="49" t="s">
        <v>477</v>
      </c>
      <c r="F72" s="56" t="s">
        <v>86</v>
      </c>
      <c r="G72" s="62">
        <v>5876</v>
      </c>
      <c r="Q72" s="334"/>
    </row>
    <row r="73" spans="1:7" ht="27" customHeight="1">
      <c r="A73" s="241" t="s">
        <v>460</v>
      </c>
      <c r="B73" s="135"/>
      <c r="C73" s="103" t="s">
        <v>157</v>
      </c>
      <c r="D73" s="103" t="s">
        <v>123</v>
      </c>
      <c r="E73" s="106" t="s">
        <v>52</v>
      </c>
      <c r="F73" s="107"/>
      <c r="G73" s="58">
        <f>G74+G83+G97</f>
        <v>3910.964</v>
      </c>
    </row>
    <row r="74" spans="1:7" ht="31.5">
      <c r="A74" s="234" t="s">
        <v>530</v>
      </c>
      <c r="B74" s="54"/>
      <c r="C74" s="45" t="s">
        <v>157</v>
      </c>
      <c r="D74" s="45" t="s">
        <v>123</v>
      </c>
      <c r="E74" s="52" t="s">
        <v>220</v>
      </c>
      <c r="F74" s="57"/>
      <c r="G74" s="58">
        <f>G75+G80</f>
        <v>2517.964</v>
      </c>
    </row>
    <row r="75" spans="1:7" ht="15.75">
      <c r="A75" s="238" t="s">
        <v>630</v>
      </c>
      <c r="B75" s="55"/>
      <c r="C75" s="48" t="s">
        <v>157</v>
      </c>
      <c r="D75" s="48" t="s">
        <v>123</v>
      </c>
      <c r="E75" s="49" t="s">
        <v>631</v>
      </c>
      <c r="F75" s="56"/>
      <c r="G75" s="62">
        <f>G76+G78</f>
        <v>64.7</v>
      </c>
    </row>
    <row r="76" spans="1:18" ht="47.25">
      <c r="A76" s="237" t="s">
        <v>116</v>
      </c>
      <c r="B76" s="55"/>
      <c r="C76" s="48" t="s">
        <v>157</v>
      </c>
      <c r="D76" s="48" t="s">
        <v>123</v>
      </c>
      <c r="E76" s="49" t="s">
        <v>631</v>
      </c>
      <c r="F76" s="56" t="s">
        <v>198</v>
      </c>
      <c r="G76" s="62">
        <f>G77</f>
        <v>13.2</v>
      </c>
      <c r="R76" s="333"/>
    </row>
    <row r="77" spans="1:7" ht="15.75">
      <c r="A77" s="237" t="s">
        <v>193</v>
      </c>
      <c r="B77" s="55"/>
      <c r="C77" s="48" t="s">
        <v>157</v>
      </c>
      <c r="D77" s="48" t="s">
        <v>123</v>
      </c>
      <c r="E77" s="49" t="s">
        <v>631</v>
      </c>
      <c r="F77" s="56" t="s">
        <v>194</v>
      </c>
      <c r="G77" s="62">
        <v>13.2</v>
      </c>
    </row>
    <row r="78" spans="1:7" ht="15.75">
      <c r="A78" s="237" t="s">
        <v>226</v>
      </c>
      <c r="B78" s="55"/>
      <c r="C78" s="48" t="s">
        <v>157</v>
      </c>
      <c r="D78" s="48" t="s">
        <v>123</v>
      </c>
      <c r="E78" s="49" t="s">
        <v>631</v>
      </c>
      <c r="F78" s="56" t="s">
        <v>188</v>
      </c>
      <c r="G78" s="62">
        <f>G79</f>
        <v>51.5</v>
      </c>
    </row>
    <row r="79" spans="1:7" ht="15.75">
      <c r="A79" s="237" t="s">
        <v>189</v>
      </c>
      <c r="B79" s="55"/>
      <c r="C79" s="48" t="s">
        <v>157</v>
      </c>
      <c r="D79" s="48" t="s">
        <v>123</v>
      </c>
      <c r="E79" s="49" t="s">
        <v>631</v>
      </c>
      <c r="F79" s="56" t="s">
        <v>187</v>
      </c>
      <c r="G79" s="62">
        <v>51.5</v>
      </c>
    </row>
    <row r="80" spans="1:7" ht="15.75">
      <c r="A80" s="34" t="s">
        <v>315</v>
      </c>
      <c r="B80" s="55"/>
      <c r="C80" s="48" t="s">
        <v>157</v>
      </c>
      <c r="D80" s="48" t="s">
        <v>123</v>
      </c>
      <c r="E80" s="49" t="s">
        <v>273</v>
      </c>
      <c r="F80" s="56"/>
      <c r="G80" s="62">
        <f>G81</f>
        <v>2453.264</v>
      </c>
    </row>
    <row r="81" spans="1:7" ht="15.75">
      <c r="A81" s="237" t="s">
        <v>226</v>
      </c>
      <c r="B81" s="55"/>
      <c r="C81" s="48" t="s">
        <v>157</v>
      </c>
      <c r="D81" s="48" t="s">
        <v>123</v>
      </c>
      <c r="E81" s="49" t="s">
        <v>273</v>
      </c>
      <c r="F81" s="56" t="s">
        <v>188</v>
      </c>
      <c r="G81" s="62">
        <f>G82</f>
        <v>2453.264</v>
      </c>
    </row>
    <row r="82" spans="1:7" ht="15.75">
      <c r="A82" s="237" t="s">
        <v>189</v>
      </c>
      <c r="B82" s="55"/>
      <c r="C82" s="48" t="s">
        <v>157</v>
      </c>
      <c r="D82" s="48" t="s">
        <v>123</v>
      </c>
      <c r="E82" s="49" t="s">
        <v>273</v>
      </c>
      <c r="F82" s="56" t="s">
        <v>187</v>
      </c>
      <c r="G82" s="62">
        <v>2453.264</v>
      </c>
    </row>
    <row r="83" spans="1:7" ht="31.5">
      <c r="A83" s="242" t="s">
        <v>531</v>
      </c>
      <c r="B83" s="55"/>
      <c r="C83" s="45" t="s">
        <v>157</v>
      </c>
      <c r="D83" s="45" t="s">
        <v>123</v>
      </c>
      <c r="E83" s="52" t="s">
        <v>274</v>
      </c>
      <c r="F83" s="57"/>
      <c r="G83" s="58">
        <f>G84+G94+G91</f>
        <v>1313</v>
      </c>
    </row>
    <row r="84" spans="1:7" ht="15.75">
      <c r="A84" s="238" t="s">
        <v>95</v>
      </c>
      <c r="B84" s="55"/>
      <c r="C84" s="48" t="s">
        <v>157</v>
      </c>
      <c r="D84" s="48" t="s">
        <v>123</v>
      </c>
      <c r="E84" s="49" t="s">
        <v>275</v>
      </c>
      <c r="F84" s="56"/>
      <c r="G84" s="62">
        <f>G85+G89+G87</f>
        <v>80</v>
      </c>
    </row>
    <row r="85" spans="1:7" ht="47.25">
      <c r="A85" s="237" t="s">
        <v>116</v>
      </c>
      <c r="B85" s="55"/>
      <c r="C85" s="48" t="s">
        <v>157</v>
      </c>
      <c r="D85" s="48" t="s">
        <v>123</v>
      </c>
      <c r="E85" s="49" t="s">
        <v>275</v>
      </c>
      <c r="F85" s="56" t="s">
        <v>198</v>
      </c>
      <c r="G85" s="62">
        <f>G86</f>
        <v>40</v>
      </c>
    </row>
    <row r="86" spans="1:7" ht="24.75" customHeight="1">
      <c r="A86" s="237" t="s">
        <v>193</v>
      </c>
      <c r="B86" s="55"/>
      <c r="C86" s="48" t="s">
        <v>157</v>
      </c>
      <c r="D86" s="48" t="s">
        <v>123</v>
      </c>
      <c r="E86" s="49" t="s">
        <v>275</v>
      </c>
      <c r="F86" s="56" t="s">
        <v>194</v>
      </c>
      <c r="G86" s="62">
        <v>40</v>
      </c>
    </row>
    <row r="87" spans="1:7" ht="15.75">
      <c r="A87" s="237" t="s">
        <v>226</v>
      </c>
      <c r="B87" s="55"/>
      <c r="C87" s="48" t="s">
        <v>157</v>
      </c>
      <c r="D87" s="48" t="s">
        <v>123</v>
      </c>
      <c r="E87" s="49" t="s">
        <v>275</v>
      </c>
      <c r="F87" s="56" t="s">
        <v>188</v>
      </c>
      <c r="G87" s="62">
        <f>G88</f>
        <v>20</v>
      </c>
    </row>
    <row r="88" spans="1:7" ht="15.75">
      <c r="A88" s="237" t="s">
        <v>189</v>
      </c>
      <c r="B88" s="55"/>
      <c r="C88" s="48" t="s">
        <v>157</v>
      </c>
      <c r="D88" s="48" t="s">
        <v>123</v>
      </c>
      <c r="E88" s="49" t="s">
        <v>275</v>
      </c>
      <c r="F88" s="56" t="s">
        <v>187</v>
      </c>
      <c r="G88" s="62">
        <v>20</v>
      </c>
    </row>
    <row r="89" spans="1:7" ht="31.5">
      <c r="A89" s="237" t="s">
        <v>202</v>
      </c>
      <c r="B89" s="55"/>
      <c r="C89" s="48" t="s">
        <v>157</v>
      </c>
      <c r="D89" s="48" t="s">
        <v>123</v>
      </c>
      <c r="E89" s="49" t="s">
        <v>275</v>
      </c>
      <c r="F89" s="56" t="s">
        <v>178</v>
      </c>
      <c r="G89" s="62">
        <f>G90</f>
        <v>20</v>
      </c>
    </row>
    <row r="90" spans="1:7" ht="32.25" customHeight="1">
      <c r="A90" s="237" t="s">
        <v>388</v>
      </c>
      <c r="B90" s="55"/>
      <c r="C90" s="48" t="s">
        <v>157</v>
      </c>
      <c r="D90" s="48" t="s">
        <v>123</v>
      </c>
      <c r="E90" s="49" t="s">
        <v>275</v>
      </c>
      <c r="F90" s="56" t="s">
        <v>203</v>
      </c>
      <c r="G90" s="62">
        <v>20</v>
      </c>
    </row>
    <row r="91" spans="1:7" ht="19.5" customHeight="1">
      <c r="A91" s="240" t="s">
        <v>405</v>
      </c>
      <c r="B91" s="55"/>
      <c r="C91" s="48" t="s">
        <v>157</v>
      </c>
      <c r="D91" s="48" t="s">
        <v>123</v>
      </c>
      <c r="E91" s="49" t="s">
        <v>404</v>
      </c>
      <c r="F91" s="56"/>
      <c r="G91" s="62">
        <f>G92</f>
        <v>1100</v>
      </c>
    </row>
    <row r="92" spans="1:7" ht="15.75">
      <c r="A92" s="237" t="s">
        <v>226</v>
      </c>
      <c r="B92" s="55"/>
      <c r="C92" s="48" t="s">
        <v>157</v>
      </c>
      <c r="D92" s="48" t="s">
        <v>123</v>
      </c>
      <c r="E92" s="49" t="s">
        <v>404</v>
      </c>
      <c r="F92" s="56" t="s">
        <v>188</v>
      </c>
      <c r="G92" s="62">
        <f>G93</f>
        <v>1100</v>
      </c>
    </row>
    <row r="93" spans="1:7" ht="15.75">
      <c r="A93" s="237" t="s">
        <v>189</v>
      </c>
      <c r="B93" s="55"/>
      <c r="C93" s="48" t="s">
        <v>157</v>
      </c>
      <c r="D93" s="48" t="s">
        <v>123</v>
      </c>
      <c r="E93" s="49" t="s">
        <v>404</v>
      </c>
      <c r="F93" s="56" t="s">
        <v>187</v>
      </c>
      <c r="G93" s="62">
        <f>300+800</f>
        <v>1100</v>
      </c>
    </row>
    <row r="94" spans="1:7" ht="31.5">
      <c r="A94" s="240" t="s">
        <v>316</v>
      </c>
      <c r="B94" s="55"/>
      <c r="C94" s="48" t="s">
        <v>157</v>
      </c>
      <c r="D94" s="48" t="s">
        <v>123</v>
      </c>
      <c r="E94" s="49" t="s">
        <v>276</v>
      </c>
      <c r="F94" s="56"/>
      <c r="G94" s="62">
        <f>G95</f>
        <v>133</v>
      </c>
    </row>
    <row r="95" spans="1:7" ht="31.5">
      <c r="A95" s="237" t="s">
        <v>202</v>
      </c>
      <c r="B95" s="55"/>
      <c r="C95" s="48" t="s">
        <v>157</v>
      </c>
      <c r="D95" s="48" t="s">
        <v>123</v>
      </c>
      <c r="E95" s="49" t="s">
        <v>276</v>
      </c>
      <c r="F95" s="56" t="s">
        <v>178</v>
      </c>
      <c r="G95" s="62">
        <f>G96</f>
        <v>133</v>
      </c>
    </row>
    <row r="96" spans="1:7" ht="31.5">
      <c r="A96" s="237" t="s">
        <v>388</v>
      </c>
      <c r="B96" s="55"/>
      <c r="C96" s="48" t="s">
        <v>157</v>
      </c>
      <c r="D96" s="48" t="s">
        <v>123</v>
      </c>
      <c r="E96" s="49" t="s">
        <v>276</v>
      </c>
      <c r="F96" s="56" t="s">
        <v>203</v>
      </c>
      <c r="G96" s="62">
        <v>133</v>
      </c>
    </row>
    <row r="97" spans="1:7" ht="15.75">
      <c r="A97" s="242" t="s">
        <v>532</v>
      </c>
      <c r="B97" s="55"/>
      <c r="C97" s="45" t="s">
        <v>157</v>
      </c>
      <c r="D97" s="45" t="s">
        <v>123</v>
      </c>
      <c r="E97" s="52" t="s">
        <v>409</v>
      </c>
      <c r="F97" s="57"/>
      <c r="G97" s="58">
        <f>G98</f>
        <v>80</v>
      </c>
    </row>
    <row r="98" spans="1:7" ht="15.75">
      <c r="A98" s="238" t="s">
        <v>95</v>
      </c>
      <c r="B98" s="55"/>
      <c r="C98" s="48" t="s">
        <v>157</v>
      </c>
      <c r="D98" s="48" t="s">
        <v>123</v>
      </c>
      <c r="E98" s="49" t="s">
        <v>408</v>
      </c>
      <c r="F98" s="56"/>
      <c r="G98" s="62">
        <f>G99+G101</f>
        <v>80</v>
      </c>
    </row>
    <row r="99" spans="1:7" ht="47.25">
      <c r="A99" s="237" t="s">
        <v>116</v>
      </c>
      <c r="B99" s="55"/>
      <c r="C99" s="48" t="s">
        <v>157</v>
      </c>
      <c r="D99" s="48" t="s">
        <v>123</v>
      </c>
      <c r="E99" s="49" t="s">
        <v>408</v>
      </c>
      <c r="F99" s="56" t="s">
        <v>198</v>
      </c>
      <c r="G99" s="62">
        <f>G100</f>
        <v>60</v>
      </c>
    </row>
    <row r="100" spans="1:7" ht="17.25" customHeight="1">
      <c r="A100" s="237" t="s">
        <v>193</v>
      </c>
      <c r="B100" s="55"/>
      <c r="C100" s="48" t="s">
        <v>157</v>
      </c>
      <c r="D100" s="48" t="s">
        <v>123</v>
      </c>
      <c r="E100" s="49" t="s">
        <v>408</v>
      </c>
      <c r="F100" s="56" t="s">
        <v>194</v>
      </c>
      <c r="G100" s="62">
        <v>60</v>
      </c>
    </row>
    <row r="101" spans="1:7" ht="15.75">
      <c r="A101" s="237" t="s">
        <v>226</v>
      </c>
      <c r="B101" s="55"/>
      <c r="C101" s="48" t="s">
        <v>157</v>
      </c>
      <c r="D101" s="48" t="s">
        <v>123</v>
      </c>
      <c r="E101" s="49" t="s">
        <v>408</v>
      </c>
      <c r="F101" s="56" t="s">
        <v>188</v>
      </c>
      <c r="G101" s="62">
        <f>G102</f>
        <v>20</v>
      </c>
    </row>
    <row r="102" spans="1:7" ht="16.5" customHeight="1">
      <c r="A102" s="237" t="s">
        <v>189</v>
      </c>
      <c r="B102" s="55"/>
      <c r="C102" s="48" t="s">
        <v>157</v>
      </c>
      <c r="D102" s="48" t="s">
        <v>123</v>
      </c>
      <c r="E102" s="49" t="s">
        <v>408</v>
      </c>
      <c r="F102" s="56" t="s">
        <v>187</v>
      </c>
      <c r="G102" s="62">
        <v>20</v>
      </c>
    </row>
    <row r="103" spans="1:7" ht="31.5">
      <c r="A103" s="243" t="s">
        <v>487</v>
      </c>
      <c r="B103" s="92"/>
      <c r="C103" s="93" t="s">
        <v>157</v>
      </c>
      <c r="D103" s="93" t="s">
        <v>123</v>
      </c>
      <c r="E103" s="52" t="s">
        <v>354</v>
      </c>
      <c r="F103" s="94"/>
      <c r="G103" s="58">
        <f>G104</f>
        <v>92</v>
      </c>
    </row>
    <row r="104" spans="1:7" ht="15.75">
      <c r="A104" s="238" t="s">
        <v>94</v>
      </c>
      <c r="B104" s="55"/>
      <c r="C104" s="80" t="s">
        <v>157</v>
      </c>
      <c r="D104" s="80" t="s">
        <v>123</v>
      </c>
      <c r="E104" s="81" t="s">
        <v>355</v>
      </c>
      <c r="F104" s="76"/>
      <c r="G104" s="62">
        <f>G105</f>
        <v>92</v>
      </c>
    </row>
    <row r="105" spans="1:7" ht="15.75">
      <c r="A105" s="237" t="s">
        <v>226</v>
      </c>
      <c r="B105" s="47"/>
      <c r="C105" s="80" t="s">
        <v>157</v>
      </c>
      <c r="D105" s="80" t="s">
        <v>123</v>
      </c>
      <c r="E105" s="81" t="s">
        <v>355</v>
      </c>
      <c r="F105" s="76" t="s">
        <v>188</v>
      </c>
      <c r="G105" s="62">
        <f>G106</f>
        <v>92</v>
      </c>
    </row>
    <row r="106" spans="1:7" ht="15.75">
      <c r="A106" s="237" t="s">
        <v>189</v>
      </c>
      <c r="B106" s="55"/>
      <c r="C106" s="80" t="s">
        <v>157</v>
      </c>
      <c r="D106" s="80" t="s">
        <v>123</v>
      </c>
      <c r="E106" s="81" t="s">
        <v>355</v>
      </c>
      <c r="F106" s="76" t="s">
        <v>187</v>
      </c>
      <c r="G106" s="62">
        <v>92</v>
      </c>
    </row>
    <row r="107" spans="1:26" s="16" customFormat="1" ht="31.5">
      <c r="A107" s="234" t="s">
        <v>461</v>
      </c>
      <c r="B107" s="51"/>
      <c r="C107" s="45" t="s">
        <v>157</v>
      </c>
      <c r="D107" s="45" t="s">
        <v>123</v>
      </c>
      <c r="E107" s="52" t="s">
        <v>41</v>
      </c>
      <c r="F107" s="57"/>
      <c r="G107" s="58">
        <f>G115+G108</f>
        <v>25320</v>
      </c>
      <c r="H107" s="293"/>
      <c r="I107" s="293"/>
      <c r="J107" s="293"/>
      <c r="K107" s="293"/>
      <c r="L107" s="293"/>
      <c r="M107" s="293"/>
      <c r="N107" s="293"/>
      <c r="O107" s="293"/>
      <c r="P107" s="293"/>
      <c r="Q107" s="222"/>
      <c r="R107" s="293"/>
      <c r="S107" s="293"/>
      <c r="T107" s="293"/>
      <c r="U107" s="293"/>
      <c r="V107" s="293"/>
      <c r="W107" s="293"/>
      <c r="X107" s="293"/>
      <c r="Y107" s="293"/>
      <c r="Z107" s="293"/>
    </row>
    <row r="108" spans="1:19" ht="15.75">
      <c r="A108" s="235" t="s">
        <v>106</v>
      </c>
      <c r="B108" s="51"/>
      <c r="C108" s="48" t="s">
        <v>157</v>
      </c>
      <c r="D108" s="48" t="s">
        <v>123</v>
      </c>
      <c r="E108" s="49" t="s">
        <v>253</v>
      </c>
      <c r="F108" s="56"/>
      <c r="G108" s="62">
        <f>G109+G111+G113</f>
        <v>23305</v>
      </c>
      <c r="Q108" s="334"/>
      <c r="S108" s="333">
        <f>G108+G137</f>
        <v>26618.1</v>
      </c>
    </row>
    <row r="109" spans="1:7" ht="47.25">
      <c r="A109" s="237" t="s">
        <v>116</v>
      </c>
      <c r="B109" s="51"/>
      <c r="C109" s="48" t="s">
        <v>157</v>
      </c>
      <c r="D109" s="48" t="s">
        <v>123</v>
      </c>
      <c r="E109" s="49" t="s">
        <v>253</v>
      </c>
      <c r="F109" s="56" t="s">
        <v>198</v>
      </c>
      <c r="G109" s="62">
        <f>G110</f>
        <v>8281.3</v>
      </c>
    </row>
    <row r="110" spans="1:7" ht="15.75">
      <c r="A110" s="237" t="s">
        <v>255</v>
      </c>
      <c r="B110" s="51"/>
      <c r="C110" s="48" t="s">
        <v>157</v>
      </c>
      <c r="D110" s="48" t="s">
        <v>123</v>
      </c>
      <c r="E110" s="49" t="s">
        <v>253</v>
      </c>
      <c r="F110" s="56" t="s">
        <v>254</v>
      </c>
      <c r="G110" s="62">
        <f>7747.3+534</f>
        <v>8281.3</v>
      </c>
    </row>
    <row r="111" spans="1:7" ht="15.75">
      <c r="A111" s="237" t="s">
        <v>226</v>
      </c>
      <c r="B111" s="51"/>
      <c r="C111" s="48" t="s">
        <v>157</v>
      </c>
      <c r="D111" s="48" t="s">
        <v>123</v>
      </c>
      <c r="E111" s="49" t="s">
        <v>253</v>
      </c>
      <c r="F111" s="56" t="s">
        <v>188</v>
      </c>
      <c r="G111" s="62">
        <f>G112</f>
        <v>14772.7</v>
      </c>
    </row>
    <row r="112" spans="1:7" ht="15.75">
      <c r="A112" s="237" t="s">
        <v>189</v>
      </c>
      <c r="B112" s="51"/>
      <c r="C112" s="48" t="s">
        <v>157</v>
      </c>
      <c r="D112" s="48" t="s">
        <v>123</v>
      </c>
      <c r="E112" s="49" t="s">
        <v>253</v>
      </c>
      <c r="F112" s="56" t="s">
        <v>187</v>
      </c>
      <c r="G112" s="62">
        <v>14772.7</v>
      </c>
    </row>
    <row r="113" spans="1:7" ht="15.75">
      <c r="A113" s="163" t="s">
        <v>90</v>
      </c>
      <c r="B113" s="51"/>
      <c r="C113" s="48" t="s">
        <v>157</v>
      </c>
      <c r="D113" s="48" t="s">
        <v>123</v>
      </c>
      <c r="E113" s="49" t="s">
        <v>253</v>
      </c>
      <c r="F113" s="56" t="s">
        <v>87</v>
      </c>
      <c r="G113" s="62">
        <f>G114</f>
        <v>251</v>
      </c>
    </row>
    <row r="114" spans="1:7" ht="15.75">
      <c r="A114" s="163" t="s">
        <v>209</v>
      </c>
      <c r="B114" s="51"/>
      <c r="C114" s="48" t="s">
        <v>157</v>
      </c>
      <c r="D114" s="48" t="s">
        <v>123</v>
      </c>
      <c r="E114" s="49" t="s">
        <v>253</v>
      </c>
      <c r="F114" s="56" t="s">
        <v>210</v>
      </c>
      <c r="G114" s="62">
        <v>251</v>
      </c>
    </row>
    <row r="115" spans="1:7" ht="16.5" customHeight="1">
      <c r="A115" s="238" t="s">
        <v>92</v>
      </c>
      <c r="B115" s="55"/>
      <c r="C115" s="48" t="s">
        <v>157</v>
      </c>
      <c r="D115" s="48" t="s">
        <v>123</v>
      </c>
      <c r="E115" s="49" t="s">
        <v>53</v>
      </c>
      <c r="F115" s="56"/>
      <c r="G115" s="62">
        <f>SUM(G116,G118)</f>
        <v>2015</v>
      </c>
    </row>
    <row r="116" spans="1:7" ht="15.75">
      <c r="A116" s="237" t="s">
        <v>226</v>
      </c>
      <c r="B116" s="47"/>
      <c r="C116" s="48" t="s">
        <v>157</v>
      </c>
      <c r="D116" s="48" t="s">
        <v>123</v>
      </c>
      <c r="E116" s="49" t="s">
        <v>53</v>
      </c>
      <c r="F116" s="56" t="s">
        <v>188</v>
      </c>
      <c r="G116" s="62">
        <f>G117</f>
        <v>1980</v>
      </c>
    </row>
    <row r="117" spans="1:7" ht="15.75">
      <c r="A117" s="237" t="s">
        <v>189</v>
      </c>
      <c r="B117" s="55"/>
      <c r="C117" s="48" t="s">
        <v>157</v>
      </c>
      <c r="D117" s="48" t="s">
        <v>123</v>
      </c>
      <c r="E117" s="49" t="s">
        <v>53</v>
      </c>
      <c r="F117" s="56" t="s">
        <v>187</v>
      </c>
      <c r="G117" s="62">
        <v>1980</v>
      </c>
    </row>
    <row r="118" spans="1:7" ht="15.75">
      <c r="A118" s="163" t="s">
        <v>90</v>
      </c>
      <c r="B118" s="55"/>
      <c r="C118" s="48" t="s">
        <v>211</v>
      </c>
      <c r="D118" s="48" t="s">
        <v>123</v>
      </c>
      <c r="E118" s="49" t="s">
        <v>53</v>
      </c>
      <c r="F118" s="56" t="s">
        <v>87</v>
      </c>
      <c r="G118" s="62">
        <f>G119</f>
        <v>35</v>
      </c>
    </row>
    <row r="119" spans="1:7" ht="15.75">
      <c r="A119" s="163" t="s">
        <v>209</v>
      </c>
      <c r="B119" s="55"/>
      <c r="C119" s="48" t="s">
        <v>157</v>
      </c>
      <c r="D119" s="48" t="s">
        <v>123</v>
      </c>
      <c r="E119" s="49" t="s">
        <v>53</v>
      </c>
      <c r="F119" s="56" t="s">
        <v>210</v>
      </c>
      <c r="G119" s="62">
        <v>35</v>
      </c>
    </row>
    <row r="120" spans="1:7" ht="15.75">
      <c r="A120" s="234" t="s">
        <v>312</v>
      </c>
      <c r="B120" s="54"/>
      <c r="C120" s="45" t="s">
        <v>157</v>
      </c>
      <c r="D120" s="45" t="s">
        <v>123</v>
      </c>
      <c r="E120" s="168" t="s">
        <v>285</v>
      </c>
      <c r="F120" s="57"/>
      <c r="G120" s="58">
        <f>G121</f>
        <v>1000</v>
      </c>
    </row>
    <row r="121" spans="1:7" ht="15.75">
      <c r="A121" s="238" t="s">
        <v>243</v>
      </c>
      <c r="B121" s="55"/>
      <c r="C121" s="48" t="s">
        <v>157</v>
      </c>
      <c r="D121" s="48" t="s">
        <v>123</v>
      </c>
      <c r="E121" s="76" t="s">
        <v>287</v>
      </c>
      <c r="F121" s="56"/>
      <c r="G121" s="62">
        <f>G122</f>
        <v>1000</v>
      </c>
    </row>
    <row r="122" spans="1:7" ht="15.75">
      <c r="A122" s="244" t="s">
        <v>90</v>
      </c>
      <c r="B122" s="55"/>
      <c r="C122" s="48" t="s">
        <v>157</v>
      </c>
      <c r="D122" s="48" t="s">
        <v>123</v>
      </c>
      <c r="E122" s="76" t="s">
        <v>287</v>
      </c>
      <c r="F122" s="56" t="s">
        <v>87</v>
      </c>
      <c r="G122" s="62">
        <f>G123+G124</f>
        <v>1000</v>
      </c>
    </row>
    <row r="123" spans="1:7" ht="15.75">
      <c r="A123" s="244" t="s">
        <v>288</v>
      </c>
      <c r="B123" s="55"/>
      <c r="C123" s="48" t="s">
        <v>157</v>
      </c>
      <c r="D123" s="48" t="s">
        <v>123</v>
      </c>
      <c r="E123" s="76" t="s">
        <v>287</v>
      </c>
      <c r="F123" s="56" t="s">
        <v>598</v>
      </c>
      <c r="G123" s="62">
        <v>870</v>
      </c>
    </row>
    <row r="124" spans="1:7" ht="15.75">
      <c r="A124" s="244" t="s">
        <v>209</v>
      </c>
      <c r="B124" s="55"/>
      <c r="C124" s="48" t="s">
        <v>157</v>
      </c>
      <c r="D124" s="48" t="s">
        <v>123</v>
      </c>
      <c r="E124" s="76" t="s">
        <v>287</v>
      </c>
      <c r="F124" s="56" t="s">
        <v>210</v>
      </c>
      <c r="G124" s="62">
        <v>130</v>
      </c>
    </row>
    <row r="125" spans="1:17" ht="15.75">
      <c r="A125" s="245" t="s">
        <v>472</v>
      </c>
      <c r="B125" s="54"/>
      <c r="C125" s="45" t="s">
        <v>171</v>
      </c>
      <c r="D125" s="45"/>
      <c r="E125" s="52"/>
      <c r="F125" s="57"/>
      <c r="G125" s="58">
        <f>G126</f>
        <v>664.051</v>
      </c>
      <c r="Q125" s="34"/>
    </row>
    <row r="126" spans="1:17" ht="15.75">
      <c r="A126" s="245" t="s">
        <v>139</v>
      </c>
      <c r="B126" s="55"/>
      <c r="C126" s="45" t="s">
        <v>171</v>
      </c>
      <c r="D126" s="45" t="s">
        <v>158</v>
      </c>
      <c r="E126" s="49"/>
      <c r="F126" s="56"/>
      <c r="G126" s="62">
        <f>G127</f>
        <v>664.051</v>
      </c>
      <c r="Q126" s="34"/>
    </row>
    <row r="127" spans="1:17" ht="31.5">
      <c r="A127" s="245" t="s">
        <v>473</v>
      </c>
      <c r="B127" s="55"/>
      <c r="C127" s="45" t="s">
        <v>171</v>
      </c>
      <c r="D127" s="45" t="s">
        <v>158</v>
      </c>
      <c r="E127" s="52" t="s">
        <v>41</v>
      </c>
      <c r="F127" s="57"/>
      <c r="G127" s="58">
        <f>G128</f>
        <v>664.051</v>
      </c>
      <c r="Q127" s="34"/>
    </row>
    <row r="128" spans="1:17" ht="15.75">
      <c r="A128" s="163" t="s">
        <v>100</v>
      </c>
      <c r="B128" s="55"/>
      <c r="C128" s="48" t="s">
        <v>171</v>
      </c>
      <c r="D128" s="48" t="s">
        <v>158</v>
      </c>
      <c r="E128" s="49" t="s">
        <v>471</v>
      </c>
      <c r="F128" s="56"/>
      <c r="G128" s="62">
        <f>G129+G131</f>
        <v>664.051</v>
      </c>
      <c r="Q128" s="34"/>
    </row>
    <row r="129" spans="1:17" ht="47.25">
      <c r="A129" s="237" t="s">
        <v>116</v>
      </c>
      <c r="B129" s="55"/>
      <c r="C129" s="48" t="s">
        <v>171</v>
      </c>
      <c r="D129" s="48" t="s">
        <v>158</v>
      </c>
      <c r="E129" s="49" t="s">
        <v>471</v>
      </c>
      <c r="F129" s="56" t="s">
        <v>198</v>
      </c>
      <c r="G129" s="62">
        <f>G130</f>
        <v>613.546</v>
      </c>
      <c r="Q129" s="34"/>
    </row>
    <row r="130" spans="1:17" ht="15.75">
      <c r="A130" s="237" t="s">
        <v>193</v>
      </c>
      <c r="B130" s="55"/>
      <c r="C130" s="48" t="s">
        <v>171</v>
      </c>
      <c r="D130" s="48" t="s">
        <v>158</v>
      </c>
      <c r="E130" s="49" t="s">
        <v>471</v>
      </c>
      <c r="F130" s="56" t="s">
        <v>194</v>
      </c>
      <c r="G130" s="62">
        <v>613.546</v>
      </c>
      <c r="Q130" s="34"/>
    </row>
    <row r="131" spans="1:17" ht="15.75">
      <c r="A131" s="237" t="s">
        <v>226</v>
      </c>
      <c r="B131" s="55"/>
      <c r="C131" s="48" t="s">
        <v>171</v>
      </c>
      <c r="D131" s="48" t="s">
        <v>158</v>
      </c>
      <c r="E131" s="49" t="s">
        <v>471</v>
      </c>
      <c r="F131" s="56" t="s">
        <v>188</v>
      </c>
      <c r="G131" s="62">
        <f>G132</f>
        <v>50.505</v>
      </c>
      <c r="Q131" s="34"/>
    </row>
    <row r="132" spans="1:17" ht="15.75">
      <c r="A132" s="237" t="s">
        <v>189</v>
      </c>
      <c r="B132" s="55"/>
      <c r="C132" s="48" t="s">
        <v>171</v>
      </c>
      <c r="D132" s="48" t="s">
        <v>158</v>
      </c>
      <c r="E132" s="49" t="s">
        <v>471</v>
      </c>
      <c r="F132" s="56" t="s">
        <v>187</v>
      </c>
      <c r="G132" s="62">
        <v>50.505</v>
      </c>
      <c r="Q132" s="34"/>
    </row>
    <row r="133" spans="1:17" ht="15.75">
      <c r="A133" s="288" t="s">
        <v>128</v>
      </c>
      <c r="B133" s="51"/>
      <c r="C133" s="45" t="s">
        <v>158</v>
      </c>
      <c r="D133" s="48"/>
      <c r="E133" s="49" t="s">
        <v>175</v>
      </c>
      <c r="F133" s="48"/>
      <c r="G133" s="58">
        <f>G134+G151</f>
        <v>5866.1</v>
      </c>
      <c r="Q133" s="34"/>
    </row>
    <row r="134" spans="1:17" ht="15" customHeight="1">
      <c r="A134" s="288" t="s">
        <v>384</v>
      </c>
      <c r="B134" s="55"/>
      <c r="C134" s="45" t="s">
        <v>158</v>
      </c>
      <c r="D134" s="45" t="s">
        <v>168</v>
      </c>
      <c r="E134" s="52" t="s">
        <v>175</v>
      </c>
      <c r="F134" s="57" t="s">
        <v>175</v>
      </c>
      <c r="G134" s="58">
        <f>G135</f>
        <v>4103.1</v>
      </c>
      <c r="Q134" s="34"/>
    </row>
    <row r="135" spans="1:26" s="16" customFormat="1" ht="15" customHeight="1">
      <c r="A135" s="152" t="s">
        <v>488</v>
      </c>
      <c r="B135" s="55"/>
      <c r="C135" s="45" t="s">
        <v>158</v>
      </c>
      <c r="D135" s="45" t="s">
        <v>168</v>
      </c>
      <c r="E135" s="52" t="s">
        <v>54</v>
      </c>
      <c r="F135" s="57"/>
      <c r="G135" s="58">
        <f>G136+G147+G143</f>
        <v>4103.1</v>
      </c>
      <c r="H135" s="293"/>
      <c r="I135" s="293"/>
      <c r="J135" s="293"/>
      <c r="K135" s="293"/>
      <c r="L135" s="293"/>
      <c r="M135" s="293"/>
      <c r="N135" s="293"/>
      <c r="O135" s="293"/>
      <c r="P135" s="293"/>
      <c r="Q135" s="222"/>
      <c r="R135" s="293"/>
      <c r="S135" s="293"/>
      <c r="T135" s="293"/>
      <c r="U135" s="293"/>
      <c r="V135" s="293"/>
      <c r="W135" s="293"/>
      <c r="X135" s="293"/>
      <c r="Y135" s="293"/>
      <c r="Z135" s="293"/>
    </row>
    <row r="136" spans="1:26" s="16" customFormat="1" ht="47.25">
      <c r="A136" s="152" t="s">
        <v>401</v>
      </c>
      <c r="B136" s="54"/>
      <c r="C136" s="45" t="s">
        <v>158</v>
      </c>
      <c r="D136" s="45" t="s">
        <v>168</v>
      </c>
      <c r="E136" s="52" t="s">
        <v>310</v>
      </c>
      <c r="F136" s="57"/>
      <c r="G136" s="58">
        <f>G137+G140</f>
        <v>3733.1</v>
      </c>
      <c r="H136" s="293"/>
      <c r="I136" s="293"/>
      <c r="J136" s="293"/>
      <c r="K136" s="293"/>
      <c r="L136" s="293"/>
      <c r="M136" s="293"/>
      <c r="N136" s="293"/>
      <c r="O136" s="293"/>
      <c r="P136" s="293"/>
      <c r="Q136" s="222"/>
      <c r="R136" s="293"/>
      <c r="S136" s="293"/>
      <c r="T136" s="293"/>
      <c r="U136" s="293"/>
      <c r="V136" s="293"/>
      <c r="W136" s="293"/>
      <c r="X136" s="293"/>
      <c r="Y136" s="293"/>
      <c r="Z136" s="293"/>
    </row>
    <row r="137" spans="1:7" ht="15.75">
      <c r="A137" s="235" t="s">
        <v>106</v>
      </c>
      <c r="B137" s="55"/>
      <c r="C137" s="48" t="s">
        <v>158</v>
      </c>
      <c r="D137" s="48" t="s">
        <v>168</v>
      </c>
      <c r="E137" s="49" t="s">
        <v>400</v>
      </c>
      <c r="F137" s="56"/>
      <c r="G137" s="62">
        <f>G138</f>
        <v>3313.1</v>
      </c>
    </row>
    <row r="138" spans="1:7" ht="47.25">
      <c r="A138" s="244" t="s">
        <v>116</v>
      </c>
      <c r="B138" s="47"/>
      <c r="C138" s="48" t="s">
        <v>158</v>
      </c>
      <c r="D138" s="48" t="s">
        <v>168</v>
      </c>
      <c r="E138" s="49" t="s">
        <v>400</v>
      </c>
      <c r="F138" s="56" t="s">
        <v>198</v>
      </c>
      <c r="G138" s="62">
        <f>G139</f>
        <v>3313.1</v>
      </c>
    </row>
    <row r="139" spans="1:7" ht="15.75">
      <c r="A139" s="246" t="s">
        <v>597</v>
      </c>
      <c r="B139" s="55"/>
      <c r="C139" s="48" t="s">
        <v>158</v>
      </c>
      <c r="D139" s="48" t="s">
        <v>168</v>
      </c>
      <c r="E139" s="49" t="s">
        <v>400</v>
      </c>
      <c r="F139" s="56" t="s">
        <v>254</v>
      </c>
      <c r="G139" s="62">
        <f>3047.1+266</f>
        <v>3313.1</v>
      </c>
    </row>
    <row r="140" spans="1:7" ht="31.5">
      <c r="A140" s="246" t="s">
        <v>645</v>
      </c>
      <c r="B140" s="55"/>
      <c r="C140" s="48" t="s">
        <v>158</v>
      </c>
      <c r="D140" s="48" t="s">
        <v>168</v>
      </c>
      <c r="E140" s="49" t="s">
        <v>611</v>
      </c>
      <c r="F140" s="56"/>
      <c r="G140" s="62">
        <f>G141</f>
        <v>420</v>
      </c>
    </row>
    <row r="141" spans="1:7" ht="15.75">
      <c r="A141" s="246" t="s">
        <v>226</v>
      </c>
      <c r="B141" s="47"/>
      <c r="C141" s="48" t="s">
        <v>158</v>
      </c>
      <c r="D141" s="48" t="s">
        <v>168</v>
      </c>
      <c r="E141" s="49" t="s">
        <v>611</v>
      </c>
      <c r="F141" s="56" t="s">
        <v>188</v>
      </c>
      <c r="G141" s="62">
        <f>G142</f>
        <v>420</v>
      </c>
    </row>
    <row r="142" spans="1:7" ht="15.75">
      <c r="A142" s="246" t="s">
        <v>189</v>
      </c>
      <c r="B142" s="55"/>
      <c r="C142" s="48" t="s">
        <v>158</v>
      </c>
      <c r="D142" s="48" t="s">
        <v>168</v>
      </c>
      <c r="E142" s="49" t="s">
        <v>611</v>
      </c>
      <c r="F142" s="56" t="s">
        <v>187</v>
      </c>
      <c r="G142" s="62">
        <f>20+400</f>
        <v>420</v>
      </c>
    </row>
    <row r="143" spans="1:7" ht="15.75">
      <c r="A143" s="247" t="s">
        <v>565</v>
      </c>
      <c r="B143" s="54"/>
      <c r="C143" s="45" t="s">
        <v>158</v>
      </c>
      <c r="D143" s="45" t="s">
        <v>168</v>
      </c>
      <c r="E143" s="52" t="s">
        <v>610</v>
      </c>
      <c r="F143" s="57"/>
      <c r="G143" s="58">
        <f>G144</f>
        <v>70</v>
      </c>
    </row>
    <row r="144" spans="1:7" ht="31.5">
      <c r="A144" s="248" t="s">
        <v>642</v>
      </c>
      <c r="B144" s="55"/>
      <c r="C144" s="48" t="s">
        <v>158</v>
      </c>
      <c r="D144" s="48" t="s">
        <v>168</v>
      </c>
      <c r="E144" s="76" t="s">
        <v>567</v>
      </c>
      <c r="F144" s="56"/>
      <c r="G144" s="62">
        <f>G145</f>
        <v>70</v>
      </c>
    </row>
    <row r="145" spans="1:7" ht="15.75">
      <c r="A145" s="244" t="s">
        <v>226</v>
      </c>
      <c r="B145" s="55"/>
      <c r="C145" s="48" t="s">
        <v>158</v>
      </c>
      <c r="D145" s="48" t="s">
        <v>168</v>
      </c>
      <c r="E145" s="76" t="s">
        <v>567</v>
      </c>
      <c r="F145" s="56" t="s">
        <v>188</v>
      </c>
      <c r="G145" s="62">
        <f>G146</f>
        <v>70</v>
      </c>
    </row>
    <row r="146" spans="1:7" ht="15.75">
      <c r="A146" s="244" t="s">
        <v>189</v>
      </c>
      <c r="B146" s="55"/>
      <c r="C146" s="48" t="s">
        <v>158</v>
      </c>
      <c r="D146" s="48" t="s">
        <v>168</v>
      </c>
      <c r="E146" s="76" t="s">
        <v>567</v>
      </c>
      <c r="F146" s="56" t="s">
        <v>187</v>
      </c>
      <c r="G146" s="62">
        <v>70</v>
      </c>
    </row>
    <row r="147" spans="1:7" ht="15.75">
      <c r="A147" s="249" t="s">
        <v>55</v>
      </c>
      <c r="B147" s="54"/>
      <c r="C147" s="45" t="s">
        <v>158</v>
      </c>
      <c r="D147" s="45" t="s">
        <v>168</v>
      </c>
      <c r="E147" s="52" t="s">
        <v>56</v>
      </c>
      <c r="F147" s="57"/>
      <c r="G147" s="58">
        <f>G148</f>
        <v>300</v>
      </c>
    </row>
    <row r="148" spans="1:7" ht="15.75">
      <c r="A148" s="250" t="s">
        <v>58</v>
      </c>
      <c r="B148" s="55"/>
      <c r="C148" s="48" t="s">
        <v>158</v>
      </c>
      <c r="D148" s="48" t="s">
        <v>168</v>
      </c>
      <c r="E148" s="49" t="s">
        <v>57</v>
      </c>
      <c r="F148" s="56"/>
      <c r="G148" s="62">
        <f>SUM(G149)</f>
        <v>300</v>
      </c>
    </row>
    <row r="149" spans="1:7" ht="15.75">
      <c r="A149" s="246" t="s">
        <v>226</v>
      </c>
      <c r="B149" s="47"/>
      <c r="C149" s="48" t="s">
        <v>158</v>
      </c>
      <c r="D149" s="48" t="s">
        <v>168</v>
      </c>
      <c r="E149" s="49" t="s">
        <v>57</v>
      </c>
      <c r="F149" s="56" t="s">
        <v>188</v>
      </c>
      <c r="G149" s="62">
        <f>G150</f>
        <v>300</v>
      </c>
    </row>
    <row r="150" spans="1:7" ht="15.75">
      <c r="A150" s="246" t="s">
        <v>189</v>
      </c>
      <c r="B150" s="55"/>
      <c r="C150" s="48" t="s">
        <v>158</v>
      </c>
      <c r="D150" s="48" t="s">
        <v>168</v>
      </c>
      <c r="E150" s="49" t="s">
        <v>57</v>
      </c>
      <c r="F150" s="56" t="s">
        <v>187</v>
      </c>
      <c r="G150" s="62">
        <v>300</v>
      </c>
    </row>
    <row r="151" spans="1:7" ht="33" customHeight="1">
      <c r="A151" s="251" t="s">
        <v>568</v>
      </c>
      <c r="B151" s="55"/>
      <c r="C151" s="45" t="s">
        <v>158</v>
      </c>
      <c r="D151" s="45" t="s">
        <v>127</v>
      </c>
      <c r="E151" s="52"/>
      <c r="F151" s="56"/>
      <c r="G151" s="58">
        <f>G152</f>
        <v>1763</v>
      </c>
    </row>
    <row r="152" spans="1:7" ht="15.75">
      <c r="A152" s="152" t="s">
        <v>488</v>
      </c>
      <c r="B152" s="55"/>
      <c r="C152" s="45" t="s">
        <v>158</v>
      </c>
      <c r="D152" s="45" t="s">
        <v>127</v>
      </c>
      <c r="E152" s="52" t="s">
        <v>54</v>
      </c>
      <c r="F152" s="56"/>
      <c r="G152" s="58">
        <f>G153</f>
        <v>1763</v>
      </c>
    </row>
    <row r="153" spans="1:7" ht="15.75">
      <c r="A153" s="247" t="s">
        <v>569</v>
      </c>
      <c r="B153" s="55"/>
      <c r="C153" s="48" t="s">
        <v>158</v>
      </c>
      <c r="D153" s="48" t="s">
        <v>127</v>
      </c>
      <c r="E153" s="49" t="s">
        <v>573</v>
      </c>
      <c r="F153" s="56"/>
      <c r="G153" s="62">
        <f>G154+G159+G162</f>
        <v>1763</v>
      </c>
    </row>
    <row r="154" spans="1:7" ht="15.75">
      <c r="A154" s="248" t="s">
        <v>570</v>
      </c>
      <c r="B154" s="55"/>
      <c r="C154" s="48" t="s">
        <v>158</v>
      </c>
      <c r="D154" s="48" t="s">
        <v>127</v>
      </c>
      <c r="E154" s="76" t="s">
        <v>574</v>
      </c>
      <c r="F154" s="56"/>
      <c r="G154" s="62">
        <f>G155+G157</f>
        <v>1123</v>
      </c>
    </row>
    <row r="155" spans="1:7" ht="47.25">
      <c r="A155" s="244" t="s">
        <v>116</v>
      </c>
      <c r="B155" s="55"/>
      <c r="C155" s="48" t="s">
        <v>158</v>
      </c>
      <c r="D155" s="48" t="s">
        <v>127</v>
      </c>
      <c r="E155" s="76" t="s">
        <v>574</v>
      </c>
      <c r="F155" s="91" t="s">
        <v>198</v>
      </c>
      <c r="G155" s="62">
        <f>G156</f>
        <v>40</v>
      </c>
    </row>
    <row r="156" spans="1:7" ht="15.75">
      <c r="A156" s="244" t="s">
        <v>193</v>
      </c>
      <c r="B156" s="55"/>
      <c r="C156" s="48" t="s">
        <v>158</v>
      </c>
      <c r="D156" s="48" t="s">
        <v>127</v>
      </c>
      <c r="E156" s="76" t="s">
        <v>574</v>
      </c>
      <c r="F156" s="91" t="s">
        <v>194</v>
      </c>
      <c r="G156" s="62">
        <v>40</v>
      </c>
    </row>
    <row r="157" spans="1:7" ht="15.75">
      <c r="A157" s="244" t="s">
        <v>226</v>
      </c>
      <c r="B157" s="55"/>
      <c r="C157" s="48" t="s">
        <v>158</v>
      </c>
      <c r="D157" s="48" t="s">
        <v>127</v>
      </c>
      <c r="E157" s="76" t="s">
        <v>574</v>
      </c>
      <c r="F157" s="91" t="s">
        <v>188</v>
      </c>
      <c r="G157" s="62">
        <f>G158</f>
        <v>1083</v>
      </c>
    </row>
    <row r="158" spans="1:7" ht="15.75">
      <c r="A158" s="244" t="s">
        <v>189</v>
      </c>
      <c r="B158" s="55"/>
      <c r="C158" s="48" t="s">
        <v>158</v>
      </c>
      <c r="D158" s="48" t="s">
        <v>127</v>
      </c>
      <c r="E158" s="76" t="s">
        <v>574</v>
      </c>
      <c r="F158" s="91" t="s">
        <v>187</v>
      </c>
      <c r="G158" s="62">
        <v>1083</v>
      </c>
    </row>
    <row r="159" spans="1:7" ht="15.75">
      <c r="A159" s="248" t="s">
        <v>571</v>
      </c>
      <c r="B159" s="55"/>
      <c r="C159" s="48" t="s">
        <v>158</v>
      </c>
      <c r="D159" s="48" t="s">
        <v>127</v>
      </c>
      <c r="E159" s="76" t="s">
        <v>575</v>
      </c>
      <c r="F159" s="91"/>
      <c r="G159" s="62">
        <f>G160</f>
        <v>600</v>
      </c>
    </row>
    <row r="160" spans="1:7" ht="15.75">
      <c r="A160" s="244" t="s">
        <v>226</v>
      </c>
      <c r="B160" s="55"/>
      <c r="C160" s="48" t="s">
        <v>158</v>
      </c>
      <c r="D160" s="48" t="s">
        <v>127</v>
      </c>
      <c r="E160" s="76" t="s">
        <v>575</v>
      </c>
      <c r="F160" s="91" t="s">
        <v>188</v>
      </c>
      <c r="G160" s="62">
        <f>G161</f>
        <v>600</v>
      </c>
    </row>
    <row r="161" spans="1:7" ht="15.75">
      <c r="A161" s="244" t="s">
        <v>189</v>
      </c>
      <c r="B161" s="55"/>
      <c r="C161" s="48" t="s">
        <v>158</v>
      </c>
      <c r="D161" s="48" t="s">
        <v>127</v>
      </c>
      <c r="E161" s="76" t="s">
        <v>575</v>
      </c>
      <c r="F161" s="91" t="s">
        <v>187</v>
      </c>
      <c r="G161" s="62">
        <v>600</v>
      </c>
    </row>
    <row r="162" spans="1:7" ht="15.75">
      <c r="A162" s="248" t="s">
        <v>572</v>
      </c>
      <c r="B162" s="55"/>
      <c r="C162" s="48" t="s">
        <v>158</v>
      </c>
      <c r="D162" s="48" t="s">
        <v>127</v>
      </c>
      <c r="E162" s="76" t="s">
        <v>576</v>
      </c>
      <c r="F162" s="91"/>
      <c r="G162" s="62">
        <f>G163</f>
        <v>40</v>
      </c>
    </row>
    <row r="163" spans="1:7" ht="15.75">
      <c r="A163" s="163" t="s">
        <v>89</v>
      </c>
      <c r="B163" s="55"/>
      <c r="C163" s="48" t="s">
        <v>158</v>
      </c>
      <c r="D163" s="48" t="s">
        <v>127</v>
      </c>
      <c r="E163" s="76" t="s">
        <v>576</v>
      </c>
      <c r="F163" s="91" t="s">
        <v>85</v>
      </c>
      <c r="G163" s="62">
        <f>G164</f>
        <v>40</v>
      </c>
    </row>
    <row r="164" spans="1:7" ht="15.75">
      <c r="A164" s="238" t="s">
        <v>84</v>
      </c>
      <c r="B164" s="47"/>
      <c r="C164" s="48" t="s">
        <v>158</v>
      </c>
      <c r="D164" s="48" t="s">
        <v>127</v>
      </c>
      <c r="E164" s="76" t="s">
        <v>576</v>
      </c>
      <c r="F164" s="91" t="s">
        <v>86</v>
      </c>
      <c r="G164" s="62">
        <v>40</v>
      </c>
    </row>
    <row r="165" spans="1:17" ht="15.75">
      <c r="A165" s="252" t="s">
        <v>169</v>
      </c>
      <c r="B165" s="51"/>
      <c r="C165" s="45" t="s">
        <v>170</v>
      </c>
      <c r="D165" s="45"/>
      <c r="E165" s="57"/>
      <c r="F165" s="289"/>
      <c r="G165" s="58">
        <f>G166+G180+G188</f>
        <v>7730</v>
      </c>
      <c r="Q165" s="34"/>
    </row>
    <row r="166" spans="1:26" s="307" customFormat="1" ht="15.75">
      <c r="A166" s="234" t="s">
        <v>153</v>
      </c>
      <c r="B166" s="51"/>
      <c r="C166" s="45" t="s">
        <v>170</v>
      </c>
      <c r="D166" s="45" t="s">
        <v>172</v>
      </c>
      <c r="E166" s="49"/>
      <c r="F166" s="56"/>
      <c r="G166" s="58">
        <f>G167</f>
        <v>3220</v>
      </c>
      <c r="H166" s="336"/>
      <c r="I166" s="336"/>
      <c r="J166" s="336"/>
      <c r="K166" s="336"/>
      <c r="L166" s="336"/>
      <c r="M166" s="336"/>
      <c r="N166" s="336"/>
      <c r="O166" s="336"/>
      <c r="P166" s="336"/>
      <c r="Q166" s="337"/>
      <c r="R166" s="336"/>
      <c r="S166" s="336"/>
      <c r="T166" s="336"/>
      <c r="U166" s="336"/>
      <c r="V166" s="336"/>
      <c r="W166" s="336"/>
      <c r="X166" s="336"/>
      <c r="Y166" s="336"/>
      <c r="Z166" s="336"/>
    </row>
    <row r="167" spans="1:7" ht="15.75">
      <c r="A167" s="234" t="s">
        <v>433</v>
      </c>
      <c r="B167" s="51"/>
      <c r="C167" s="45" t="s">
        <v>170</v>
      </c>
      <c r="D167" s="45" t="s">
        <v>172</v>
      </c>
      <c r="E167" s="52" t="s">
        <v>3</v>
      </c>
      <c r="F167" s="56"/>
      <c r="G167" s="58">
        <f>G174+G171+G168+G177</f>
        <v>3220</v>
      </c>
    </row>
    <row r="168" spans="1:7" ht="15.75">
      <c r="A168" s="235" t="s">
        <v>243</v>
      </c>
      <c r="B168" s="47"/>
      <c r="C168" s="48" t="s">
        <v>170</v>
      </c>
      <c r="D168" s="48" t="s">
        <v>172</v>
      </c>
      <c r="E168" s="49" t="s">
        <v>351</v>
      </c>
      <c r="F168" s="56"/>
      <c r="G168" s="62">
        <f>G169</f>
        <v>5</v>
      </c>
    </row>
    <row r="169" spans="1:26" s="307" customFormat="1" ht="15.75">
      <c r="A169" s="237" t="s">
        <v>226</v>
      </c>
      <c r="B169" s="47"/>
      <c r="C169" s="48" t="s">
        <v>170</v>
      </c>
      <c r="D169" s="48" t="s">
        <v>172</v>
      </c>
      <c r="E169" s="49" t="s">
        <v>351</v>
      </c>
      <c r="F169" s="56" t="s">
        <v>188</v>
      </c>
      <c r="G169" s="62">
        <f>G170</f>
        <v>5</v>
      </c>
      <c r="H169" s="336"/>
      <c r="I169" s="336"/>
      <c r="J169" s="336"/>
      <c r="K169" s="336"/>
      <c r="L169" s="336"/>
      <c r="M169" s="336"/>
      <c r="N169" s="336"/>
      <c r="O169" s="336"/>
      <c r="P169" s="336"/>
      <c r="Q169" s="337"/>
      <c r="R169" s="336"/>
      <c r="S169" s="336"/>
      <c r="T169" s="336"/>
      <c r="U169" s="336"/>
      <c r="V169" s="336"/>
      <c r="W169" s="336"/>
      <c r="X169" s="336"/>
      <c r="Y169" s="336"/>
      <c r="Z169" s="336"/>
    </row>
    <row r="170" spans="1:26" s="307" customFormat="1" ht="15.75">
      <c r="A170" s="237" t="s">
        <v>189</v>
      </c>
      <c r="B170" s="47"/>
      <c r="C170" s="48" t="s">
        <v>170</v>
      </c>
      <c r="D170" s="48" t="s">
        <v>172</v>
      </c>
      <c r="E170" s="49" t="s">
        <v>351</v>
      </c>
      <c r="F170" s="56" t="s">
        <v>187</v>
      </c>
      <c r="G170" s="62">
        <v>5</v>
      </c>
      <c r="H170" s="336"/>
      <c r="I170" s="336"/>
      <c r="J170" s="336"/>
      <c r="K170" s="336"/>
      <c r="L170" s="336"/>
      <c r="M170" s="336"/>
      <c r="N170" s="336"/>
      <c r="O170" s="336"/>
      <c r="P170" s="336"/>
      <c r="Q170" s="337"/>
      <c r="R170" s="336"/>
      <c r="S170" s="336"/>
      <c r="T170" s="336"/>
      <c r="U170" s="336"/>
      <c r="V170" s="336"/>
      <c r="W170" s="336"/>
      <c r="X170" s="336"/>
      <c r="Y170" s="336"/>
      <c r="Z170" s="336"/>
    </row>
    <row r="171" spans="1:26" s="307" customFormat="1" ht="15.75">
      <c r="A171" s="238" t="s">
        <v>101</v>
      </c>
      <c r="B171" s="47"/>
      <c r="C171" s="48" t="s">
        <v>170</v>
      </c>
      <c r="D171" s="48" t="s">
        <v>172</v>
      </c>
      <c r="E171" s="49" t="s">
        <v>4</v>
      </c>
      <c r="F171" s="56"/>
      <c r="G171" s="62">
        <f>G172</f>
        <v>3000</v>
      </c>
      <c r="H171" s="336"/>
      <c r="I171" s="336"/>
      <c r="J171" s="336"/>
      <c r="K171" s="336"/>
      <c r="L171" s="336"/>
      <c r="M171" s="336"/>
      <c r="N171" s="336"/>
      <c r="O171" s="336"/>
      <c r="P171" s="336"/>
      <c r="Q171" s="337"/>
      <c r="R171" s="336"/>
      <c r="S171" s="336"/>
      <c r="T171" s="336"/>
      <c r="U171" s="336"/>
      <c r="V171" s="336"/>
      <c r="W171" s="336"/>
      <c r="X171" s="336"/>
      <c r="Y171" s="336"/>
      <c r="Z171" s="336"/>
    </row>
    <row r="172" spans="1:26" s="307" customFormat="1" ht="15.75">
      <c r="A172" s="238" t="s">
        <v>90</v>
      </c>
      <c r="B172" s="47"/>
      <c r="C172" s="48" t="s">
        <v>170</v>
      </c>
      <c r="D172" s="48" t="s">
        <v>172</v>
      </c>
      <c r="E172" s="49" t="s">
        <v>4</v>
      </c>
      <c r="F172" s="56" t="s">
        <v>87</v>
      </c>
      <c r="G172" s="62">
        <f>G173</f>
        <v>3000</v>
      </c>
      <c r="H172" s="336"/>
      <c r="I172" s="336"/>
      <c r="J172" s="336"/>
      <c r="K172" s="336"/>
      <c r="L172" s="336"/>
      <c r="M172" s="336"/>
      <c r="N172" s="336"/>
      <c r="O172" s="336"/>
      <c r="P172" s="336"/>
      <c r="Q172" s="337"/>
      <c r="R172" s="336"/>
      <c r="S172" s="336"/>
      <c r="T172" s="336"/>
      <c r="U172" s="336"/>
      <c r="V172" s="336"/>
      <c r="W172" s="336"/>
      <c r="X172" s="336"/>
      <c r="Y172" s="336"/>
      <c r="Z172" s="336"/>
    </row>
    <row r="173" spans="1:26" s="307" customFormat="1" ht="31.5">
      <c r="A173" s="238" t="s">
        <v>228</v>
      </c>
      <c r="B173" s="47"/>
      <c r="C173" s="48" t="s">
        <v>170</v>
      </c>
      <c r="D173" s="48" t="s">
        <v>172</v>
      </c>
      <c r="E173" s="49" t="s">
        <v>4</v>
      </c>
      <c r="F173" s="56" t="s">
        <v>88</v>
      </c>
      <c r="G173" s="62">
        <f>1000+2000</f>
        <v>3000</v>
      </c>
      <c r="H173" s="336"/>
      <c r="I173" s="336"/>
      <c r="J173" s="336"/>
      <c r="K173" s="336"/>
      <c r="L173" s="336"/>
      <c r="M173" s="336"/>
      <c r="N173" s="336"/>
      <c r="O173" s="336"/>
      <c r="P173" s="336"/>
      <c r="Q173" s="337"/>
      <c r="R173" s="336"/>
      <c r="S173" s="336"/>
      <c r="T173" s="336"/>
      <c r="U173" s="336"/>
      <c r="V173" s="336"/>
      <c r="W173" s="336"/>
      <c r="X173" s="336"/>
      <c r="Y173" s="336"/>
      <c r="Z173" s="336"/>
    </row>
    <row r="174" spans="1:7" ht="15.75">
      <c r="A174" s="235" t="s">
        <v>96</v>
      </c>
      <c r="B174" s="47"/>
      <c r="C174" s="48" t="s">
        <v>170</v>
      </c>
      <c r="D174" s="48" t="s">
        <v>172</v>
      </c>
      <c r="E174" s="49" t="s">
        <v>5</v>
      </c>
      <c r="F174" s="56"/>
      <c r="G174" s="62">
        <f>G175</f>
        <v>115</v>
      </c>
    </row>
    <row r="175" spans="1:17" ht="15.75">
      <c r="A175" s="237" t="s">
        <v>226</v>
      </c>
      <c r="B175" s="47"/>
      <c r="C175" s="48" t="s">
        <v>170</v>
      </c>
      <c r="D175" s="48" t="s">
        <v>172</v>
      </c>
      <c r="E175" s="49" t="s">
        <v>5</v>
      </c>
      <c r="F175" s="56" t="s">
        <v>188</v>
      </c>
      <c r="G175" s="62">
        <f>G176</f>
        <v>115</v>
      </c>
      <c r="Q175" s="334"/>
    </row>
    <row r="176" spans="1:7" ht="15.75">
      <c r="A176" s="237" t="s">
        <v>189</v>
      </c>
      <c r="B176" s="47"/>
      <c r="C176" s="48" t="s">
        <v>170</v>
      </c>
      <c r="D176" s="48" t="s">
        <v>172</v>
      </c>
      <c r="E176" s="49" t="s">
        <v>5</v>
      </c>
      <c r="F176" s="56" t="s">
        <v>187</v>
      </c>
      <c r="G176" s="62">
        <v>115</v>
      </c>
    </row>
    <row r="177" spans="1:7" ht="32.25" customHeight="1">
      <c r="A177" s="235" t="s">
        <v>349</v>
      </c>
      <c r="B177" s="47"/>
      <c r="C177" s="48" t="s">
        <v>170</v>
      </c>
      <c r="D177" s="48" t="s">
        <v>172</v>
      </c>
      <c r="E177" s="49" t="s">
        <v>350</v>
      </c>
      <c r="F177" s="56"/>
      <c r="G177" s="62">
        <f>G178</f>
        <v>100</v>
      </c>
    </row>
    <row r="178" spans="1:9" ht="15.75">
      <c r="A178" s="237" t="s">
        <v>226</v>
      </c>
      <c r="B178" s="47"/>
      <c r="C178" s="48" t="s">
        <v>170</v>
      </c>
      <c r="D178" s="48" t="s">
        <v>172</v>
      </c>
      <c r="E178" s="49" t="s">
        <v>350</v>
      </c>
      <c r="F178" s="56" t="s">
        <v>188</v>
      </c>
      <c r="G178" s="62">
        <f>G179</f>
        <v>100</v>
      </c>
      <c r="H178" s="338"/>
      <c r="I178" s="339"/>
    </row>
    <row r="179" spans="1:7" ht="15.75">
      <c r="A179" s="237" t="s">
        <v>189</v>
      </c>
      <c r="B179" s="47"/>
      <c r="C179" s="48" t="s">
        <v>170</v>
      </c>
      <c r="D179" s="48" t="s">
        <v>172</v>
      </c>
      <c r="E179" s="49" t="s">
        <v>350</v>
      </c>
      <c r="F179" s="56" t="s">
        <v>187</v>
      </c>
      <c r="G179" s="62">
        <v>100</v>
      </c>
    </row>
    <row r="180" spans="1:7" ht="15.75" customHeight="1">
      <c r="A180" s="234" t="s">
        <v>173</v>
      </c>
      <c r="B180" s="51"/>
      <c r="C180" s="45" t="s">
        <v>170</v>
      </c>
      <c r="D180" s="45" t="s">
        <v>160</v>
      </c>
      <c r="E180" s="52"/>
      <c r="F180" s="57"/>
      <c r="G180" s="58">
        <f>G181</f>
        <v>3850</v>
      </c>
    </row>
    <row r="181" spans="1:7" ht="15.75">
      <c r="A181" s="234" t="s">
        <v>434</v>
      </c>
      <c r="B181" s="51"/>
      <c r="C181" s="45" t="s">
        <v>170</v>
      </c>
      <c r="D181" s="45" t="s">
        <v>160</v>
      </c>
      <c r="E181" s="52" t="s">
        <v>18</v>
      </c>
      <c r="F181" s="57"/>
      <c r="G181" s="58">
        <f>G182+G185</f>
        <v>3850</v>
      </c>
    </row>
    <row r="182" spans="1:7" ht="15.75">
      <c r="A182" s="238" t="s">
        <v>243</v>
      </c>
      <c r="B182" s="47"/>
      <c r="C182" s="48" t="s">
        <v>170</v>
      </c>
      <c r="D182" s="48" t="s">
        <v>160</v>
      </c>
      <c r="E182" s="56" t="s">
        <v>633</v>
      </c>
      <c r="F182" s="56"/>
      <c r="G182" s="62">
        <f>G183</f>
        <v>150</v>
      </c>
    </row>
    <row r="183" spans="1:7" ht="15.75">
      <c r="A183" s="237" t="s">
        <v>226</v>
      </c>
      <c r="B183" s="47"/>
      <c r="C183" s="48" t="s">
        <v>170</v>
      </c>
      <c r="D183" s="48" t="s">
        <v>160</v>
      </c>
      <c r="E183" s="56" t="s">
        <v>633</v>
      </c>
      <c r="F183" s="56" t="s">
        <v>188</v>
      </c>
      <c r="G183" s="62">
        <f>G184</f>
        <v>150</v>
      </c>
    </row>
    <row r="184" spans="1:7" ht="20.25" customHeight="1">
      <c r="A184" s="237" t="s">
        <v>189</v>
      </c>
      <c r="B184" s="47"/>
      <c r="C184" s="48" t="s">
        <v>170</v>
      </c>
      <c r="D184" s="48" t="s">
        <v>160</v>
      </c>
      <c r="E184" s="56" t="s">
        <v>633</v>
      </c>
      <c r="F184" s="56" t="s">
        <v>187</v>
      </c>
      <c r="G184" s="62">
        <v>150</v>
      </c>
    </row>
    <row r="185" spans="1:7" ht="16.5" customHeight="1">
      <c r="A185" s="238" t="s">
        <v>436</v>
      </c>
      <c r="B185" s="47"/>
      <c r="C185" s="48" t="s">
        <v>170</v>
      </c>
      <c r="D185" s="48" t="s">
        <v>160</v>
      </c>
      <c r="E185" s="49" t="s">
        <v>435</v>
      </c>
      <c r="F185" s="56"/>
      <c r="G185" s="62">
        <f>G186</f>
        <v>3700</v>
      </c>
    </row>
    <row r="186" spans="1:7" ht="15.75">
      <c r="A186" s="237" t="s">
        <v>226</v>
      </c>
      <c r="B186" s="47"/>
      <c r="C186" s="48" t="s">
        <v>170</v>
      </c>
      <c r="D186" s="48" t="s">
        <v>160</v>
      </c>
      <c r="E186" s="49" t="s">
        <v>435</v>
      </c>
      <c r="F186" s="56" t="s">
        <v>188</v>
      </c>
      <c r="G186" s="62">
        <f>G187</f>
        <v>3700</v>
      </c>
    </row>
    <row r="187" spans="1:7" ht="20.25" customHeight="1">
      <c r="A187" s="237" t="s">
        <v>189</v>
      </c>
      <c r="B187" s="47"/>
      <c r="C187" s="48" t="s">
        <v>170</v>
      </c>
      <c r="D187" s="48" t="s">
        <v>160</v>
      </c>
      <c r="E187" s="49" t="s">
        <v>435</v>
      </c>
      <c r="F187" s="56" t="s">
        <v>187</v>
      </c>
      <c r="G187" s="62">
        <f>1850+1850</f>
        <v>3700</v>
      </c>
    </row>
    <row r="188" spans="1:18" ht="14.25" customHeight="1">
      <c r="A188" s="252" t="s">
        <v>136</v>
      </c>
      <c r="B188" s="51"/>
      <c r="C188" s="45" t="s">
        <v>170</v>
      </c>
      <c r="D188" s="45" t="s">
        <v>164</v>
      </c>
      <c r="E188" s="52"/>
      <c r="F188" s="57"/>
      <c r="G188" s="58">
        <f>G189</f>
        <v>660</v>
      </c>
      <c r="R188" s="333">
        <f>G188+G537+G781</f>
        <v>14566.1</v>
      </c>
    </row>
    <row r="189" spans="1:7" ht="31.5">
      <c r="A189" s="239" t="s">
        <v>437</v>
      </c>
      <c r="B189" s="54"/>
      <c r="C189" s="45" t="s">
        <v>170</v>
      </c>
      <c r="D189" s="45" t="s">
        <v>164</v>
      </c>
      <c r="E189" s="52" t="s">
        <v>13</v>
      </c>
      <c r="F189" s="57"/>
      <c r="G189" s="58">
        <f>G190+G197</f>
        <v>660</v>
      </c>
    </row>
    <row r="190" spans="1:7" ht="15.75" customHeight="1">
      <c r="A190" s="238" t="s">
        <v>93</v>
      </c>
      <c r="B190" s="55"/>
      <c r="C190" s="48" t="s">
        <v>170</v>
      </c>
      <c r="D190" s="48" t="s">
        <v>164</v>
      </c>
      <c r="E190" s="49" t="s">
        <v>14</v>
      </c>
      <c r="F190" s="56"/>
      <c r="G190" s="62">
        <f>G195+G191+G193</f>
        <v>510</v>
      </c>
    </row>
    <row r="191" spans="1:7" ht="15.75" customHeight="1">
      <c r="A191" s="237" t="s">
        <v>226</v>
      </c>
      <c r="B191" s="55"/>
      <c r="C191" s="48" t="s">
        <v>170</v>
      </c>
      <c r="D191" s="48" t="s">
        <v>164</v>
      </c>
      <c r="E191" s="49" t="s">
        <v>14</v>
      </c>
      <c r="F191" s="56" t="s">
        <v>188</v>
      </c>
      <c r="G191" s="62">
        <f>G192</f>
        <v>200</v>
      </c>
    </row>
    <row r="192" spans="1:7" ht="15.75">
      <c r="A192" s="237" t="s">
        <v>189</v>
      </c>
      <c r="B192" s="55"/>
      <c r="C192" s="48" t="s">
        <v>170</v>
      </c>
      <c r="D192" s="48" t="s">
        <v>164</v>
      </c>
      <c r="E192" s="49" t="s">
        <v>14</v>
      </c>
      <c r="F192" s="56" t="s">
        <v>187</v>
      </c>
      <c r="G192" s="62">
        <v>200</v>
      </c>
    </row>
    <row r="193" spans="1:7" ht="31.5">
      <c r="A193" s="163" t="s">
        <v>190</v>
      </c>
      <c r="B193" s="55"/>
      <c r="C193" s="48" t="s">
        <v>170</v>
      </c>
      <c r="D193" s="48" t="s">
        <v>164</v>
      </c>
      <c r="E193" s="49" t="s">
        <v>14</v>
      </c>
      <c r="F193" s="56" t="s">
        <v>178</v>
      </c>
      <c r="G193" s="62">
        <f>G194</f>
        <v>10</v>
      </c>
    </row>
    <row r="194" spans="1:7" ht="15.75">
      <c r="A194" s="253" t="s">
        <v>191</v>
      </c>
      <c r="B194" s="55"/>
      <c r="C194" s="48" t="s">
        <v>170</v>
      </c>
      <c r="D194" s="48" t="s">
        <v>164</v>
      </c>
      <c r="E194" s="49" t="s">
        <v>14</v>
      </c>
      <c r="F194" s="56" t="s">
        <v>192</v>
      </c>
      <c r="G194" s="62">
        <v>10</v>
      </c>
    </row>
    <row r="195" spans="1:7" ht="15" customHeight="1">
      <c r="A195" s="238" t="s">
        <v>90</v>
      </c>
      <c r="B195" s="55"/>
      <c r="C195" s="48" t="s">
        <v>170</v>
      </c>
      <c r="D195" s="48" t="s">
        <v>164</v>
      </c>
      <c r="E195" s="49" t="s">
        <v>14</v>
      </c>
      <c r="F195" s="56" t="s">
        <v>87</v>
      </c>
      <c r="G195" s="62">
        <f>G196</f>
        <v>300</v>
      </c>
    </row>
    <row r="196" spans="1:26" s="16" customFormat="1" ht="31.5">
      <c r="A196" s="238" t="s">
        <v>228</v>
      </c>
      <c r="B196" s="55"/>
      <c r="C196" s="48" t="s">
        <v>170</v>
      </c>
      <c r="D196" s="48" t="s">
        <v>164</v>
      </c>
      <c r="E196" s="49" t="s">
        <v>14</v>
      </c>
      <c r="F196" s="56" t="s">
        <v>88</v>
      </c>
      <c r="G196" s="62">
        <v>300</v>
      </c>
      <c r="H196" s="293"/>
      <c r="I196" s="335"/>
      <c r="J196" s="293"/>
      <c r="K196" s="293"/>
      <c r="L196" s="293"/>
      <c r="M196" s="293"/>
      <c r="N196" s="293"/>
      <c r="O196" s="293"/>
      <c r="P196" s="293"/>
      <c r="Q196" s="222"/>
      <c r="R196" s="293"/>
      <c r="S196" s="293"/>
      <c r="T196" s="293"/>
      <c r="U196" s="293"/>
      <c r="V196" s="293"/>
      <c r="W196" s="293"/>
      <c r="X196" s="293"/>
      <c r="Y196" s="293"/>
      <c r="Z196" s="293"/>
    </row>
    <row r="197" spans="1:7" ht="31.5">
      <c r="A197" s="238" t="s">
        <v>501</v>
      </c>
      <c r="B197" s="55"/>
      <c r="C197" s="48" t="s">
        <v>170</v>
      </c>
      <c r="D197" s="48" t="s">
        <v>164</v>
      </c>
      <c r="E197" s="49" t="s">
        <v>500</v>
      </c>
      <c r="F197" s="56"/>
      <c r="G197" s="62">
        <f>G198</f>
        <v>150</v>
      </c>
    </row>
    <row r="198" spans="1:7" ht="15" customHeight="1">
      <c r="A198" s="238" t="s">
        <v>90</v>
      </c>
      <c r="B198" s="55"/>
      <c r="C198" s="48" t="s">
        <v>170</v>
      </c>
      <c r="D198" s="48" t="s">
        <v>164</v>
      </c>
      <c r="E198" s="49" t="s">
        <v>500</v>
      </c>
      <c r="F198" s="56" t="s">
        <v>87</v>
      </c>
      <c r="G198" s="62">
        <f>G199</f>
        <v>150</v>
      </c>
    </row>
    <row r="199" spans="1:26" s="16" customFormat="1" ht="31.5">
      <c r="A199" s="238" t="s">
        <v>228</v>
      </c>
      <c r="B199" s="55"/>
      <c r="C199" s="48" t="s">
        <v>170</v>
      </c>
      <c r="D199" s="48" t="s">
        <v>164</v>
      </c>
      <c r="E199" s="49" t="s">
        <v>500</v>
      </c>
      <c r="F199" s="56" t="s">
        <v>88</v>
      </c>
      <c r="G199" s="62">
        <v>150</v>
      </c>
      <c r="H199" s="293"/>
      <c r="I199" s="335"/>
      <c r="J199" s="293"/>
      <c r="K199" s="293"/>
      <c r="L199" s="293"/>
      <c r="M199" s="293"/>
      <c r="N199" s="293"/>
      <c r="O199" s="293"/>
      <c r="P199" s="293"/>
      <c r="Q199" s="222"/>
      <c r="R199" s="293"/>
      <c r="S199" s="293"/>
      <c r="T199" s="293"/>
      <c r="U199" s="293"/>
      <c r="V199" s="293"/>
      <c r="W199" s="293"/>
      <c r="X199" s="293"/>
      <c r="Y199" s="293"/>
      <c r="Z199" s="293"/>
    </row>
    <row r="200" spans="1:7" ht="15.75">
      <c r="A200" s="234" t="s">
        <v>144</v>
      </c>
      <c r="B200" s="66"/>
      <c r="C200" s="45" t="s">
        <v>172</v>
      </c>
      <c r="D200" s="45"/>
      <c r="E200" s="49"/>
      <c r="F200" s="56"/>
      <c r="G200" s="58">
        <f>G201</f>
        <v>600</v>
      </c>
    </row>
    <row r="201" spans="1:18" ht="15.75">
      <c r="A201" s="245" t="s">
        <v>8</v>
      </c>
      <c r="B201" s="77"/>
      <c r="C201" s="45" t="s">
        <v>172</v>
      </c>
      <c r="D201" s="45" t="s">
        <v>158</v>
      </c>
      <c r="E201" s="52"/>
      <c r="F201" s="57"/>
      <c r="G201" s="58">
        <f>G202</f>
        <v>600</v>
      </c>
      <c r="R201" s="333">
        <f>G201+G885</f>
        <v>4622</v>
      </c>
    </row>
    <row r="202" spans="1:7" ht="15.75">
      <c r="A202" s="234" t="s">
        <v>536</v>
      </c>
      <c r="B202" s="77"/>
      <c r="C202" s="45" t="s">
        <v>172</v>
      </c>
      <c r="D202" s="45" t="s">
        <v>158</v>
      </c>
      <c r="E202" s="52" t="s">
        <v>511</v>
      </c>
      <c r="F202" s="57"/>
      <c r="G202" s="58">
        <f>G204</f>
        <v>600</v>
      </c>
    </row>
    <row r="203" spans="1:7" ht="15.75">
      <c r="A203" s="242" t="s">
        <v>513</v>
      </c>
      <c r="B203" s="77"/>
      <c r="C203" s="45" t="s">
        <v>172</v>
      </c>
      <c r="D203" s="45" t="s">
        <v>158</v>
      </c>
      <c r="E203" s="52" t="s">
        <v>281</v>
      </c>
      <c r="F203" s="57"/>
      <c r="G203" s="58">
        <f>G205</f>
        <v>600</v>
      </c>
    </row>
    <row r="204" spans="1:26" s="16" customFormat="1" ht="15.75">
      <c r="A204" s="238" t="s">
        <v>280</v>
      </c>
      <c r="B204" s="66"/>
      <c r="C204" s="48" t="s">
        <v>172</v>
      </c>
      <c r="D204" s="48" t="s">
        <v>158</v>
      </c>
      <c r="E204" s="49" t="s">
        <v>282</v>
      </c>
      <c r="F204" s="56"/>
      <c r="G204" s="62">
        <f>G206</f>
        <v>600</v>
      </c>
      <c r="H204" s="293"/>
      <c r="I204" s="293"/>
      <c r="J204" s="293"/>
      <c r="K204" s="293"/>
      <c r="L204" s="293"/>
      <c r="M204" s="293"/>
      <c r="N204" s="293"/>
      <c r="O204" s="293"/>
      <c r="P204" s="293"/>
      <c r="Q204" s="222"/>
      <c r="R204" s="293"/>
      <c r="S204" s="293"/>
      <c r="T204" s="293"/>
      <c r="U204" s="293"/>
      <c r="V204" s="293"/>
      <c r="W204" s="293"/>
      <c r="X204" s="293"/>
      <c r="Y204" s="293"/>
      <c r="Z204" s="293"/>
    </row>
    <row r="205" spans="1:7" ht="15.75">
      <c r="A205" s="237" t="s">
        <v>226</v>
      </c>
      <c r="B205" s="66"/>
      <c r="C205" s="48" t="s">
        <v>172</v>
      </c>
      <c r="D205" s="48" t="s">
        <v>158</v>
      </c>
      <c r="E205" s="49" t="s">
        <v>282</v>
      </c>
      <c r="F205" s="56" t="s">
        <v>188</v>
      </c>
      <c r="G205" s="62">
        <f>G206</f>
        <v>600</v>
      </c>
    </row>
    <row r="206" spans="1:7" ht="15.75">
      <c r="A206" s="237" t="s">
        <v>189</v>
      </c>
      <c r="B206" s="66"/>
      <c r="C206" s="48" t="s">
        <v>172</v>
      </c>
      <c r="D206" s="48" t="s">
        <v>158</v>
      </c>
      <c r="E206" s="49" t="s">
        <v>282</v>
      </c>
      <c r="F206" s="56" t="s">
        <v>187</v>
      </c>
      <c r="G206" s="62">
        <v>600</v>
      </c>
    </row>
    <row r="207" spans="1:7" ht="15.75">
      <c r="A207" s="234" t="s">
        <v>155</v>
      </c>
      <c r="B207" s="66"/>
      <c r="C207" s="45" t="s">
        <v>127</v>
      </c>
      <c r="D207" s="45"/>
      <c r="E207" s="49"/>
      <c r="F207" s="56"/>
      <c r="G207" s="58">
        <f>G208</f>
        <v>1252.4</v>
      </c>
    </row>
    <row r="208" spans="1:18" ht="15.75">
      <c r="A208" s="245" t="s">
        <v>124</v>
      </c>
      <c r="B208" s="77"/>
      <c r="C208" s="45" t="s">
        <v>127</v>
      </c>
      <c r="D208" s="45" t="s">
        <v>158</v>
      </c>
      <c r="E208" s="52"/>
      <c r="F208" s="57"/>
      <c r="G208" s="58">
        <f>G209</f>
        <v>1252.4</v>
      </c>
      <c r="R208" s="333">
        <f>G208+G672+G918</f>
        <v>28362.14</v>
      </c>
    </row>
    <row r="209" spans="1:7" ht="15.75">
      <c r="A209" s="234" t="s">
        <v>536</v>
      </c>
      <c r="B209" s="77"/>
      <c r="C209" s="45" t="s">
        <v>127</v>
      </c>
      <c r="D209" s="45" t="s">
        <v>158</v>
      </c>
      <c r="E209" s="52" t="s">
        <v>511</v>
      </c>
      <c r="F209" s="57"/>
      <c r="G209" s="58">
        <f>G211</f>
        <v>1252.4</v>
      </c>
    </row>
    <row r="210" spans="1:7" ht="31.5">
      <c r="A210" s="242" t="s">
        <v>311</v>
      </c>
      <c r="B210" s="77"/>
      <c r="C210" s="45" t="s">
        <v>127</v>
      </c>
      <c r="D210" s="45" t="s">
        <v>158</v>
      </c>
      <c r="E210" s="52" t="s">
        <v>278</v>
      </c>
      <c r="F210" s="57"/>
      <c r="G210" s="58">
        <f>G212</f>
        <v>1252.4</v>
      </c>
    </row>
    <row r="211" spans="1:26" s="16" customFormat="1" ht="15.75">
      <c r="A211" s="238" t="s">
        <v>280</v>
      </c>
      <c r="B211" s="66"/>
      <c r="C211" s="48" t="s">
        <v>127</v>
      </c>
      <c r="D211" s="48" t="s">
        <v>158</v>
      </c>
      <c r="E211" s="49" t="s">
        <v>279</v>
      </c>
      <c r="F211" s="56"/>
      <c r="G211" s="62">
        <f>G213</f>
        <v>1252.4</v>
      </c>
      <c r="H211" s="293"/>
      <c r="I211" s="293"/>
      <c r="J211" s="293"/>
      <c r="K211" s="293"/>
      <c r="L211" s="293"/>
      <c r="M211" s="293"/>
      <c r="N211" s="293"/>
      <c r="O211" s="293"/>
      <c r="P211" s="293"/>
      <c r="Q211" s="222"/>
      <c r="R211" s="293"/>
      <c r="S211" s="293"/>
      <c r="T211" s="293"/>
      <c r="U211" s="293"/>
      <c r="V211" s="293"/>
      <c r="W211" s="293"/>
      <c r="X211" s="293"/>
      <c r="Y211" s="293"/>
      <c r="Z211" s="293"/>
    </row>
    <row r="212" spans="1:7" ht="15.75">
      <c r="A212" s="238" t="s">
        <v>89</v>
      </c>
      <c r="B212" s="66"/>
      <c r="C212" s="48" t="s">
        <v>127</v>
      </c>
      <c r="D212" s="48" t="s">
        <v>158</v>
      </c>
      <c r="E212" s="49" t="s">
        <v>279</v>
      </c>
      <c r="F212" s="56" t="s">
        <v>85</v>
      </c>
      <c r="G212" s="62">
        <f>G213</f>
        <v>1252.4</v>
      </c>
    </row>
    <row r="213" spans="1:7" ht="15.75">
      <c r="A213" s="238" t="s">
        <v>84</v>
      </c>
      <c r="B213" s="66"/>
      <c r="C213" s="48" t="s">
        <v>127</v>
      </c>
      <c r="D213" s="48" t="s">
        <v>158</v>
      </c>
      <c r="E213" s="49" t="s">
        <v>279</v>
      </c>
      <c r="F213" s="56" t="s">
        <v>86</v>
      </c>
      <c r="G213" s="62">
        <v>1252.4</v>
      </c>
    </row>
    <row r="214" spans="1:7" ht="15.75">
      <c r="A214" s="293" t="s">
        <v>111</v>
      </c>
      <c r="B214" s="77"/>
      <c r="C214" s="45" t="s">
        <v>123</v>
      </c>
      <c r="D214" s="45"/>
      <c r="E214" s="52"/>
      <c r="F214" s="57"/>
      <c r="G214" s="58">
        <f aca="true" t="shared" si="0" ref="G214:G219">G215</f>
        <v>2495.125</v>
      </c>
    </row>
    <row r="215" spans="1:7" ht="15.75">
      <c r="A215" s="256" t="s">
        <v>385</v>
      </c>
      <c r="B215" s="77"/>
      <c r="C215" s="45" t="s">
        <v>123</v>
      </c>
      <c r="D215" s="45" t="s">
        <v>157</v>
      </c>
      <c r="E215" s="52"/>
      <c r="F215" s="57"/>
      <c r="G215" s="58">
        <f t="shared" si="0"/>
        <v>2495.125</v>
      </c>
    </row>
    <row r="216" spans="1:7" ht="31.5">
      <c r="A216" s="234" t="s">
        <v>489</v>
      </c>
      <c r="B216" s="77"/>
      <c r="C216" s="45" t="s">
        <v>123</v>
      </c>
      <c r="D216" s="45" t="s">
        <v>157</v>
      </c>
      <c r="E216" s="96" t="s">
        <v>10</v>
      </c>
      <c r="F216" s="57"/>
      <c r="G216" s="58">
        <f t="shared" si="0"/>
        <v>2495.125</v>
      </c>
    </row>
    <row r="217" spans="1:7" ht="15.75">
      <c r="A217" s="234" t="s">
        <v>516</v>
      </c>
      <c r="B217" s="77"/>
      <c r="C217" s="45" t="s">
        <v>123</v>
      </c>
      <c r="D217" s="45" t="s">
        <v>157</v>
      </c>
      <c r="E217" s="52" t="s">
        <v>60</v>
      </c>
      <c r="F217" s="57"/>
      <c r="G217" s="58">
        <f t="shared" si="0"/>
        <v>2495.125</v>
      </c>
    </row>
    <row r="218" spans="1:7" ht="15.75">
      <c r="A218" s="238" t="s">
        <v>102</v>
      </c>
      <c r="B218" s="66"/>
      <c r="C218" s="48" t="s">
        <v>123</v>
      </c>
      <c r="D218" s="48" t="s">
        <v>157</v>
      </c>
      <c r="E218" s="49" t="s">
        <v>59</v>
      </c>
      <c r="F218" s="56"/>
      <c r="G218" s="62">
        <f t="shared" si="0"/>
        <v>2495.125</v>
      </c>
    </row>
    <row r="219" spans="1:7" ht="15.75">
      <c r="A219" s="238" t="s">
        <v>111</v>
      </c>
      <c r="B219" s="66"/>
      <c r="C219" s="48" t="s">
        <v>123</v>
      </c>
      <c r="D219" s="48" t="s">
        <v>157</v>
      </c>
      <c r="E219" s="49" t="s">
        <v>59</v>
      </c>
      <c r="F219" s="56" t="s">
        <v>113</v>
      </c>
      <c r="G219" s="62">
        <f t="shared" si="0"/>
        <v>2495.125</v>
      </c>
    </row>
    <row r="220" spans="1:7" ht="15.75">
      <c r="A220" s="238" t="s">
        <v>112</v>
      </c>
      <c r="B220" s="66"/>
      <c r="C220" s="48" t="s">
        <v>123</v>
      </c>
      <c r="D220" s="48" t="s">
        <v>157</v>
      </c>
      <c r="E220" s="49" t="s">
        <v>59</v>
      </c>
      <c r="F220" s="56" t="s">
        <v>114</v>
      </c>
      <c r="G220" s="62">
        <f>2845.525-350.4</f>
        <v>2495.125</v>
      </c>
    </row>
    <row r="221" spans="1:18" ht="31.5">
      <c r="A221" s="254" t="s">
        <v>519</v>
      </c>
      <c r="B221" s="111" t="s">
        <v>181</v>
      </c>
      <c r="C221" s="201"/>
      <c r="D221" s="201"/>
      <c r="E221" s="202"/>
      <c r="F221" s="203"/>
      <c r="G221" s="314">
        <f>G222+G248+G256</f>
        <v>108321.8</v>
      </c>
      <c r="R221" s="333">
        <f>G226+G233+G237+G242+G245+G251+G260</f>
        <v>108321.8</v>
      </c>
    </row>
    <row r="222" spans="1:7" ht="15.75">
      <c r="A222" s="234" t="s">
        <v>131</v>
      </c>
      <c r="B222" s="97"/>
      <c r="C222" s="290" t="s">
        <v>157</v>
      </c>
      <c r="D222" s="290"/>
      <c r="E222" s="291"/>
      <c r="F222" s="292"/>
      <c r="G222" s="58">
        <f>G223+G231+G240</f>
        <v>99844.5</v>
      </c>
    </row>
    <row r="223" spans="1:18" ht="31.5">
      <c r="A223" s="234" t="s">
        <v>154</v>
      </c>
      <c r="B223" s="47"/>
      <c r="C223" s="45" t="s">
        <v>157</v>
      </c>
      <c r="D223" s="45" t="s">
        <v>130</v>
      </c>
      <c r="E223" s="52" t="s">
        <v>175</v>
      </c>
      <c r="F223" s="57"/>
      <c r="G223" s="58">
        <f>G224</f>
        <v>13524.800000000001</v>
      </c>
      <c r="R223" s="333">
        <f>G223+G811</f>
        <v>34829.074</v>
      </c>
    </row>
    <row r="224" spans="1:18" ht="32.25" customHeight="1">
      <c r="A224" s="234" t="s">
        <v>489</v>
      </c>
      <c r="B224" s="95"/>
      <c r="C224" s="45" t="s">
        <v>157</v>
      </c>
      <c r="D224" s="45" t="s">
        <v>130</v>
      </c>
      <c r="E224" s="96" t="s">
        <v>10</v>
      </c>
      <c r="F224" s="57"/>
      <c r="G224" s="58">
        <f>G225</f>
        <v>13524.800000000001</v>
      </c>
      <c r="R224" s="333"/>
    </row>
    <row r="225" spans="1:7" ht="31.5">
      <c r="A225" s="234" t="s">
        <v>515</v>
      </c>
      <c r="B225" s="95"/>
      <c r="C225" s="45" t="s">
        <v>157</v>
      </c>
      <c r="D225" s="45" t="s">
        <v>130</v>
      </c>
      <c r="E225" s="52" t="s">
        <v>62</v>
      </c>
      <c r="F225" s="57"/>
      <c r="G225" s="58">
        <f>G226</f>
        <v>13524.800000000001</v>
      </c>
    </row>
    <row r="226" spans="1:7" ht="15.75">
      <c r="A226" s="238" t="s">
        <v>115</v>
      </c>
      <c r="B226" s="47"/>
      <c r="C226" s="48" t="s">
        <v>157</v>
      </c>
      <c r="D226" s="48" t="s">
        <v>130</v>
      </c>
      <c r="E226" s="49" t="s">
        <v>63</v>
      </c>
      <c r="F226" s="56"/>
      <c r="G226" s="62">
        <f>G227+G229</f>
        <v>13524.800000000001</v>
      </c>
    </row>
    <row r="227" spans="1:7" ht="47.25">
      <c r="A227" s="237" t="s">
        <v>116</v>
      </c>
      <c r="B227" s="47"/>
      <c r="C227" s="48" t="s">
        <v>157</v>
      </c>
      <c r="D227" s="48" t="s">
        <v>130</v>
      </c>
      <c r="E227" s="49" t="s">
        <v>63</v>
      </c>
      <c r="F227" s="56" t="s">
        <v>198</v>
      </c>
      <c r="G227" s="62">
        <f>G228</f>
        <v>12677.6</v>
      </c>
    </row>
    <row r="228" spans="1:7" ht="15.75">
      <c r="A228" s="237" t="s">
        <v>193</v>
      </c>
      <c r="B228" s="55"/>
      <c r="C228" s="48" t="s">
        <v>157</v>
      </c>
      <c r="D228" s="48" t="s">
        <v>130</v>
      </c>
      <c r="E228" s="49" t="s">
        <v>63</v>
      </c>
      <c r="F228" s="56" t="s">
        <v>194</v>
      </c>
      <c r="G228" s="62">
        <f>12377.6+300</f>
        <v>12677.6</v>
      </c>
    </row>
    <row r="229" spans="1:7" ht="15.75">
      <c r="A229" s="237" t="s">
        <v>226</v>
      </c>
      <c r="B229" s="55"/>
      <c r="C229" s="48" t="s">
        <v>157</v>
      </c>
      <c r="D229" s="48" t="s">
        <v>130</v>
      </c>
      <c r="E229" s="49" t="s">
        <v>63</v>
      </c>
      <c r="F229" s="56" t="s">
        <v>188</v>
      </c>
      <c r="G229" s="62">
        <f>G230</f>
        <v>847.2</v>
      </c>
    </row>
    <row r="230" spans="1:7" ht="15.75">
      <c r="A230" s="237" t="s">
        <v>189</v>
      </c>
      <c r="B230" s="55"/>
      <c r="C230" s="48" t="s">
        <v>157</v>
      </c>
      <c r="D230" s="48" t="s">
        <v>130</v>
      </c>
      <c r="E230" s="49" t="s">
        <v>63</v>
      </c>
      <c r="F230" s="56" t="s">
        <v>187</v>
      </c>
      <c r="G230" s="62">
        <v>847.2</v>
      </c>
    </row>
    <row r="231" spans="1:7" ht="15.75">
      <c r="A231" s="234" t="s">
        <v>163</v>
      </c>
      <c r="B231" s="47"/>
      <c r="C231" s="45" t="s">
        <v>157</v>
      </c>
      <c r="D231" s="45" t="s">
        <v>156</v>
      </c>
      <c r="E231" s="52"/>
      <c r="F231" s="57"/>
      <c r="G231" s="58">
        <f>G232+G236</f>
        <v>28650.7</v>
      </c>
    </row>
    <row r="232" spans="1:7" ht="15.75">
      <c r="A232" s="234" t="s">
        <v>320</v>
      </c>
      <c r="B232" s="51"/>
      <c r="C232" s="45" t="s">
        <v>157</v>
      </c>
      <c r="D232" s="45" t="s">
        <v>156</v>
      </c>
      <c r="E232" s="52" t="s">
        <v>64</v>
      </c>
      <c r="F232" s="57"/>
      <c r="G232" s="58">
        <f>G233</f>
        <v>350</v>
      </c>
    </row>
    <row r="233" spans="1:7" ht="15.75">
      <c r="A233" s="238" t="s">
        <v>375</v>
      </c>
      <c r="B233" s="167"/>
      <c r="C233" s="48" t="s">
        <v>157</v>
      </c>
      <c r="D233" s="48" t="s">
        <v>156</v>
      </c>
      <c r="E233" s="49" t="s">
        <v>65</v>
      </c>
      <c r="F233" s="66"/>
      <c r="G233" s="62">
        <f>G234</f>
        <v>350</v>
      </c>
    </row>
    <row r="234" spans="1:7" ht="15.75">
      <c r="A234" s="238" t="s">
        <v>90</v>
      </c>
      <c r="B234" s="167"/>
      <c r="C234" s="48" t="s">
        <v>157</v>
      </c>
      <c r="D234" s="48" t="s">
        <v>156</v>
      </c>
      <c r="E234" s="49" t="s">
        <v>65</v>
      </c>
      <c r="F234" s="66">
        <v>800</v>
      </c>
      <c r="G234" s="62">
        <f>G235</f>
        <v>350</v>
      </c>
    </row>
    <row r="235" spans="1:7" ht="15.75">
      <c r="A235" s="238" t="s">
        <v>91</v>
      </c>
      <c r="B235" s="167"/>
      <c r="C235" s="48" t="s">
        <v>157</v>
      </c>
      <c r="D235" s="48" t="s">
        <v>156</v>
      </c>
      <c r="E235" s="49" t="s">
        <v>65</v>
      </c>
      <c r="F235" s="66">
        <v>870</v>
      </c>
      <c r="G235" s="62">
        <v>350</v>
      </c>
    </row>
    <row r="236" spans="1:7" ht="15.75">
      <c r="A236" s="234" t="s">
        <v>312</v>
      </c>
      <c r="B236" s="51"/>
      <c r="C236" s="45" t="s">
        <v>157</v>
      </c>
      <c r="D236" s="45" t="s">
        <v>156</v>
      </c>
      <c r="E236" s="52" t="s">
        <v>285</v>
      </c>
      <c r="F236" s="66"/>
      <c r="G236" s="58">
        <f>G237</f>
        <v>28300.7</v>
      </c>
    </row>
    <row r="237" spans="1:7" ht="15.75">
      <c r="A237" s="238" t="s">
        <v>634</v>
      </c>
      <c r="B237" s="167"/>
      <c r="C237" s="48" t="s">
        <v>157</v>
      </c>
      <c r="D237" s="48" t="s">
        <v>156</v>
      </c>
      <c r="E237" s="49" t="s">
        <v>608</v>
      </c>
      <c r="F237" s="66"/>
      <c r="G237" s="62">
        <f>G238</f>
        <v>28300.7</v>
      </c>
    </row>
    <row r="238" spans="1:7" ht="15.75">
      <c r="A238" s="238" t="s">
        <v>90</v>
      </c>
      <c r="B238" s="167"/>
      <c r="C238" s="48" t="s">
        <v>157</v>
      </c>
      <c r="D238" s="48" t="s">
        <v>156</v>
      </c>
      <c r="E238" s="49" t="s">
        <v>608</v>
      </c>
      <c r="F238" s="66">
        <v>800</v>
      </c>
      <c r="G238" s="62">
        <f>G239</f>
        <v>28300.7</v>
      </c>
    </row>
    <row r="239" spans="1:7" ht="15.75">
      <c r="A239" s="238" t="s">
        <v>91</v>
      </c>
      <c r="B239" s="167"/>
      <c r="C239" s="48" t="s">
        <v>157</v>
      </c>
      <c r="D239" s="48" t="s">
        <v>156</v>
      </c>
      <c r="E239" s="49" t="s">
        <v>608</v>
      </c>
      <c r="F239" s="66">
        <v>870</v>
      </c>
      <c r="G239" s="62">
        <f>20566.2+7734.5</f>
        <v>28300.7</v>
      </c>
    </row>
    <row r="240" spans="1:7" ht="15.75">
      <c r="A240" s="234" t="s">
        <v>142</v>
      </c>
      <c r="B240" s="47"/>
      <c r="C240" s="45" t="s">
        <v>157</v>
      </c>
      <c r="D240" s="45" t="s">
        <v>123</v>
      </c>
      <c r="E240" s="52"/>
      <c r="F240" s="57"/>
      <c r="G240" s="58">
        <f>G241</f>
        <v>57669</v>
      </c>
    </row>
    <row r="241" spans="1:7" ht="15.75">
      <c r="A241" s="234" t="s">
        <v>312</v>
      </c>
      <c r="B241" s="51"/>
      <c r="C241" s="45" t="s">
        <v>157</v>
      </c>
      <c r="D241" s="45" t="s">
        <v>123</v>
      </c>
      <c r="E241" s="52" t="s">
        <v>285</v>
      </c>
      <c r="F241" s="57"/>
      <c r="G241" s="58">
        <f>G242+G245</f>
        <v>57669</v>
      </c>
    </row>
    <row r="242" spans="1:7" ht="15.75">
      <c r="A242" s="244" t="s">
        <v>243</v>
      </c>
      <c r="B242" s="167"/>
      <c r="C242" s="48" t="s">
        <v>157</v>
      </c>
      <c r="D242" s="48" t="s">
        <v>123</v>
      </c>
      <c r="E242" s="81" t="s">
        <v>287</v>
      </c>
      <c r="F242" s="66"/>
      <c r="G242" s="62">
        <f>G243</f>
        <v>655</v>
      </c>
    </row>
    <row r="243" spans="1:7" ht="15.75">
      <c r="A243" s="244" t="s">
        <v>90</v>
      </c>
      <c r="B243" s="167"/>
      <c r="C243" s="48" t="s">
        <v>157</v>
      </c>
      <c r="D243" s="48" t="s">
        <v>123</v>
      </c>
      <c r="E243" s="81" t="s">
        <v>287</v>
      </c>
      <c r="F243" s="66">
        <v>800</v>
      </c>
      <c r="G243" s="62">
        <f>G244</f>
        <v>655</v>
      </c>
    </row>
    <row r="244" spans="1:7" ht="15.75">
      <c r="A244" s="244" t="s">
        <v>288</v>
      </c>
      <c r="B244" s="167"/>
      <c r="C244" s="48" t="s">
        <v>157</v>
      </c>
      <c r="D244" s="48" t="s">
        <v>123</v>
      </c>
      <c r="E244" s="81" t="s">
        <v>287</v>
      </c>
      <c r="F244" s="66">
        <v>830</v>
      </c>
      <c r="G244" s="62">
        <v>655</v>
      </c>
    </row>
    <row r="245" spans="1:7" ht="31.5">
      <c r="A245" s="255" t="s">
        <v>486</v>
      </c>
      <c r="B245" s="167"/>
      <c r="C245" s="48" t="s">
        <v>157</v>
      </c>
      <c r="D245" s="48" t="s">
        <v>123</v>
      </c>
      <c r="E245" s="56" t="s">
        <v>517</v>
      </c>
      <c r="F245" s="56"/>
      <c r="G245" s="62">
        <f>G246</f>
        <v>57014</v>
      </c>
    </row>
    <row r="246" spans="1:7" ht="15.75">
      <c r="A246" s="237" t="s">
        <v>226</v>
      </c>
      <c r="B246" s="167"/>
      <c r="C246" s="48" t="s">
        <v>157</v>
      </c>
      <c r="D246" s="48" t="s">
        <v>123</v>
      </c>
      <c r="E246" s="56" t="s">
        <v>517</v>
      </c>
      <c r="F246" s="56" t="s">
        <v>188</v>
      </c>
      <c r="G246" s="62">
        <f>G247</f>
        <v>57014</v>
      </c>
    </row>
    <row r="247" spans="1:7" ht="15.75">
      <c r="A247" s="237" t="s">
        <v>189</v>
      </c>
      <c r="B247" s="167"/>
      <c r="C247" s="48" t="s">
        <v>157</v>
      </c>
      <c r="D247" s="48" t="s">
        <v>123</v>
      </c>
      <c r="E247" s="56" t="s">
        <v>517</v>
      </c>
      <c r="F247" s="56" t="s">
        <v>187</v>
      </c>
      <c r="G247" s="62">
        <v>57014</v>
      </c>
    </row>
    <row r="248" spans="1:7" ht="15.75">
      <c r="A248" s="234" t="s">
        <v>155</v>
      </c>
      <c r="B248" s="66"/>
      <c r="C248" s="45" t="s">
        <v>127</v>
      </c>
      <c r="D248" s="45"/>
      <c r="E248" s="49"/>
      <c r="F248" s="56"/>
      <c r="G248" s="58">
        <f>G249</f>
        <v>1467.6000000000001</v>
      </c>
    </row>
    <row r="249" spans="1:7" ht="15.75">
      <c r="A249" s="234" t="s">
        <v>165</v>
      </c>
      <c r="B249" s="66"/>
      <c r="C249" s="45" t="s">
        <v>127</v>
      </c>
      <c r="D249" s="45" t="s">
        <v>157</v>
      </c>
      <c r="E249" s="52"/>
      <c r="F249" s="57"/>
      <c r="G249" s="58">
        <f>G250</f>
        <v>1467.6000000000001</v>
      </c>
    </row>
    <row r="250" spans="1:26" s="16" customFormat="1" ht="15.75">
      <c r="A250" s="256" t="s">
        <v>23</v>
      </c>
      <c r="B250" s="66"/>
      <c r="C250" s="45" t="s">
        <v>180</v>
      </c>
      <c r="D250" s="45" t="s">
        <v>157</v>
      </c>
      <c r="E250" s="52" t="s">
        <v>24</v>
      </c>
      <c r="F250" s="56"/>
      <c r="G250" s="58">
        <f>G251</f>
        <v>1467.6000000000001</v>
      </c>
      <c r="H250" s="293"/>
      <c r="I250" s="293"/>
      <c r="J250" s="293"/>
      <c r="K250" s="293"/>
      <c r="L250" s="293"/>
      <c r="M250" s="293"/>
      <c r="N250" s="293"/>
      <c r="O250" s="293"/>
      <c r="P250" s="293"/>
      <c r="Q250" s="222"/>
      <c r="R250" s="293"/>
      <c r="S250" s="293"/>
      <c r="T250" s="293"/>
      <c r="U250" s="293"/>
      <c r="V250" s="293"/>
      <c r="W250" s="293"/>
      <c r="X250" s="293"/>
      <c r="Y250" s="293"/>
      <c r="Z250" s="293"/>
    </row>
    <row r="251" spans="1:7" ht="15.75">
      <c r="A251" s="235" t="s">
        <v>215</v>
      </c>
      <c r="B251" s="66"/>
      <c r="C251" s="48" t="s">
        <v>127</v>
      </c>
      <c r="D251" s="48" t="s">
        <v>157</v>
      </c>
      <c r="E251" s="49" t="s">
        <v>214</v>
      </c>
      <c r="F251" s="56"/>
      <c r="G251" s="62">
        <f>G252+G254</f>
        <v>1467.6000000000001</v>
      </c>
    </row>
    <row r="252" spans="1:7" ht="15.75">
      <c r="A252" s="237" t="s">
        <v>226</v>
      </c>
      <c r="B252" s="66"/>
      <c r="C252" s="48" t="s">
        <v>127</v>
      </c>
      <c r="D252" s="48" t="s">
        <v>157</v>
      </c>
      <c r="E252" s="49" t="s">
        <v>214</v>
      </c>
      <c r="F252" s="56" t="s">
        <v>188</v>
      </c>
      <c r="G252" s="62">
        <f>SUM(G253)</f>
        <v>21.700000000000003</v>
      </c>
    </row>
    <row r="253" spans="1:7" ht="15.75">
      <c r="A253" s="257" t="s">
        <v>189</v>
      </c>
      <c r="B253" s="66"/>
      <c r="C253" s="48" t="s">
        <v>127</v>
      </c>
      <c r="D253" s="48" t="s">
        <v>157</v>
      </c>
      <c r="E253" s="49" t="s">
        <v>214</v>
      </c>
      <c r="F253" s="56" t="s">
        <v>187</v>
      </c>
      <c r="G253" s="62">
        <f>14.3+7.4</f>
        <v>21.700000000000003</v>
      </c>
    </row>
    <row r="254" spans="1:7" ht="15.75">
      <c r="A254" s="238" t="s">
        <v>89</v>
      </c>
      <c r="B254" s="66"/>
      <c r="C254" s="48" t="s">
        <v>127</v>
      </c>
      <c r="D254" s="48" t="s">
        <v>157</v>
      </c>
      <c r="E254" s="49" t="s">
        <v>214</v>
      </c>
      <c r="F254" s="56" t="s">
        <v>85</v>
      </c>
      <c r="G254" s="62">
        <f>SUM(G255)</f>
        <v>1445.9</v>
      </c>
    </row>
    <row r="255" spans="1:7" ht="15" customHeight="1">
      <c r="A255" s="238" t="s">
        <v>424</v>
      </c>
      <c r="B255" s="66"/>
      <c r="C255" s="48" t="s">
        <v>127</v>
      </c>
      <c r="D255" s="48" t="s">
        <v>157</v>
      </c>
      <c r="E255" s="49" t="s">
        <v>214</v>
      </c>
      <c r="F255" s="56" t="s">
        <v>423</v>
      </c>
      <c r="G255" s="62">
        <f>949.7+496.2</f>
        <v>1445.9</v>
      </c>
    </row>
    <row r="256" spans="1:7" ht="15" customHeight="1">
      <c r="A256" s="293" t="s">
        <v>111</v>
      </c>
      <c r="B256" s="66"/>
      <c r="C256" s="45" t="s">
        <v>123</v>
      </c>
      <c r="D256" s="45"/>
      <c r="E256" s="52"/>
      <c r="F256" s="57"/>
      <c r="G256" s="58">
        <f aca="true" t="shared" si="1" ref="G256:G261">G257</f>
        <v>7009.700000000001</v>
      </c>
    </row>
    <row r="257" spans="1:7" ht="15.75">
      <c r="A257" s="256" t="s">
        <v>385</v>
      </c>
      <c r="B257" s="66"/>
      <c r="C257" s="45" t="s">
        <v>123</v>
      </c>
      <c r="D257" s="45" t="s">
        <v>157</v>
      </c>
      <c r="E257" s="52"/>
      <c r="F257" s="57"/>
      <c r="G257" s="58">
        <f t="shared" si="1"/>
        <v>7009.700000000001</v>
      </c>
    </row>
    <row r="258" spans="1:7" ht="31.5">
      <c r="A258" s="234" t="s">
        <v>489</v>
      </c>
      <c r="B258" s="95"/>
      <c r="C258" s="45" t="s">
        <v>123</v>
      </c>
      <c r="D258" s="45" t="s">
        <v>157</v>
      </c>
      <c r="E258" s="96" t="s">
        <v>10</v>
      </c>
      <c r="F258" s="56"/>
      <c r="G258" s="58">
        <f t="shared" si="1"/>
        <v>7009.700000000001</v>
      </c>
    </row>
    <row r="259" spans="1:7" ht="18.75" customHeight="1">
      <c r="A259" s="234" t="s">
        <v>516</v>
      </c>
      <c r="B259" s="66"/>
      <c r="C259" s="45" t="s">
        <v>123</v>
      </c>
      <c r="D259" s="45" t="s">
        <v>157</v>
      </c>
      <c r="E259" s="52" t="s">
        <v>60</v>
      </c>
      <c r="F259" s="57"/>
      <c r="G259" s="58">
        <f t="shared" si="1"/>
        <v>7009.700000000001</v>
      </c>
    </row>
    <row r="260" spans="1:7" ht="15.75">
      <c r="A260" s="238" t="s">
        <v>102</v>
      </c>
      <c r="B260" s="66"/>
      <c r="C260" s="48" t="s">
        <v>123</v>
      </c>
      <c r="D260" s="48" t="s">
        <v>157</v>
      </c>
      <c r="E260" s="49" t="s">
        <v>59</v>
      </c>
      <c r="F260" s="56"/>
      <c r="G260" s="62">
        <f t="shared" si="1"/>
        <v>7009.700000000001</v>
      </c>
    </row>
    <row r="261" spans="1:7" ht="15.75">
      <c r="A261" s="238" t="s">
        <v>111</v>
      </c>
      <c r="B261" s="66"/>
      <c r="C261" s="48" t="s">
        <v>123</v>
      </c>
      <c r="D261" s="48" t="s">
        <v>157</v>
      </c>
      <c r="E261" s="49" t="s">
        <v>59</v>
      </c>
      <c r="F261" s="56" t="s">
        <v>113</v>
      </c>
      <c r="G261" s="62">
        <f t="shared" si="1"/>
        <v>7009.700000000001</v>
      </c>
    </row>
    <row r="262" spans="1:7" ht="18" customHeight="1">
      <c r="A262" s="238" t="s">
        <v>112</v>
      </c>
      <c r="B262" s="66"/>
      <c r="C262" s="48" t="s">
        <v>123</v>
      </c>
      <c r="D262" s="48" t="s">
        <v>157</v>
      </c>
      <c r="E262" s="49" t="s">
        <v>59</v>
      </c>
      <c r="F262" s="56" t="s">
        <v>114</v>
      </c>
      <c r="G262" s="62">
        <f>12155.2-2845.5-2300</f>
        <v>7009.700000000001</v>
      </c>
    </row>
    <row r="263" spans="1:18" ht="15.75">
      <c r="A263" s="254" t="s">
        <v>520</v>
      </c>
      <c r="B263" s="111" t="s">
        <v>183</v>
      </c>
      <c r="C263" s="169"/>
      <c r="D263" s="169"/>
      <c r="E263" s="170"/>
      <c r="F263" s="169"/>
      <c r="G263" s="314">
        <f>G264</f>
        <v>7195.7</v>
      </c>
      <c r="R263" s="333">
        <f>G268+G272</f>
        <v>6475.7</v>
      </c>
    </row>
    <row r="264" spans="1:7" ht="15.75">
      <c r="A264" s="234" t="s">
        <v>131</v>
      </c>
      <c r="B264" s="51"/>
      <c r="C264" s="45" t="s">
        <v>157</v>
      </c>
      <c r="D264" s="48"/>
      <c r="E264" s="49" t="s">
        <v>175</v>
      </c>
      <c r="F264" s="48"/>
      <c r="G264" s="58">
        <f>G265+G277</f>
        <v>7195.7</v>
      </c>
    </row>
    <row r="265" spans="1:18" ht="31.5">
      <c r="A265" s="234" t="s">
        <v>152</v>
      </c>
      <c r="B265" s="66"/>
      <c r="C265" s="45" t="s">
        <v>157</v>
      </c>
      <c r="D265" s="45" t="s">
        <v>158</v>
      </c>
      <c r="E265" s="52" t="s">
        <v>175</v>
      </c>
      <c r="F265" s="67"/>
      <c r="G265" s="68">
        <f>G266</f>
        <v>6475.7</v>
      </c>
      <c r="R265" s="333">
        <f>G265+G271</f>
        <v>10225.099999999999</v>
      </c>
    </row>
    <row r="266" spans="1:7" ht="31.5">
      <c r="A266" s="234" t="s">
        <v>521</v>
      </c>
      <c r="B266" s="66"/>
      <c r="C266" s="45" t="s">
        <v>157</v>
      </c>
      <c r="D266" s="45" t="s">
        <v>158</v>
      </c>
      <c r="E266" s="52" t="s">
        <v>67</v>
      </c>
      <c r="F266" s="67"/>
      <c r="G266" s="68">
        <f>G267+G271</f>
        <v>6475.7</v>
      </c>
    </row>
    <row r="267" spans="1:7" ht="21" customHeight="1">
      <c r="A267" s="234" t="s">
        <v>635</v>
      </c>
      <c r="B267" s="77"/>
      <c r="C267" s="45" t="s">
        <v>157</v>
      </c>
      <c r="D267" s="45" t="s">
        <v>158</v>
      </c>
      <c r="E267" s="52" t="s">
        <v>68</v>
      </c>
      <c r="F267" s="67"/>
      <c r="G267" s="68">
        <f>G268</f>
        <v>2726.3</v>
      </c>
    </row>
    <row r="268" spans="1:26" s="16" customFormat="1" ht="15.75">
      <c r="A268" s="238" t="s">
        <v>103</v>
      </c>
      <c r="B268" s="66"/>
      <c r="C268" s="48" t="s">
        <v>157</v>
      </c>
      <c r="D268" s="48" t="s">
        <v>158</v>
      </c>
      <c r="E268" s="49" t="s">
        <v>69</v>
      </c>
      <c r="F268" s="69"/>
      <c r="G268" s="70">
        <f>G269</f>
        <v>2726.3</v>
      </c>
      <c r="H268" s="293"/>
      <c r="I268" s="293"/>
      <c r="J268" s="293"/>
      <c r="K268" s="293"/>
      <c r="L268" s="293"/>
      <c r="M268" s="293"/>
      <c r="N268" s="293"/>
      <c r="O268" s="293"/>
      <c r="P268" s="293"/>
      <c r="Q268" s="222"/>
      <c r="R268" s="293"/>
      <c r="S268" s="293"/>
      <c r="T268" s="293"/>
      <c r="U268" s="293"/>
      <c r="V268" s="293"/>
      <c r="W268" s="293"/>
      <c r="X268" s="293"/>
      <c r="Y268" s="293"/>
      <c r="Z268" s="293"/>
    </row>
    <row r="269" spans="1:7" ht="47.25">
      <c r="A269" s="237" t="s">
        <v>116</v>
      </c>
      <c r="B269" s="66"/>
      <c r="C269" s="48" t="s">
        <v>157</v>
      </c>
      <c r="D269" s="48" t="s">
        <v>158</v>
      </c>
      <c r="E269" s="49" t="s">
        <v>69</v>
      </c>
      <c r="F269" s="56" t="s">
        <v>198</v>
      </c>
      <c r="G269" s="70">
        <f>G270</f>
        <v>2726.3</v>
      </c>
    </row>
    <row r="270" spans="1:7" ht="15.75">
      <c r="A270" s="237" t="s">
        <v>193</v>
      </c>
      <c r="B270" s="66"/>
      <c r="C270" s="48" t="s">
        <v>157</v>
      </c>
      <c r="D270" s="48" t="s">
        <v>158</v>
      </c>
      <c r="E270" s="49" t="s">
        <v>69</v>
      </c>
      <c r="F270" s="56" t="s">
        <v>194</v>
      </c>
      <c r="G270" s="62">
        <f>1660+1066.3</f>
        <v>2726.3</v>
      </c>
    </row>
    <row r="271" spans="1:7" ht="27" customHeight="1">
      <c r="A271" s="239" t="s">
        <v>520</v>
      </c>
      <c r="B271" s="77"/>
      <c r="C271" s="45" t="s">
        <v>157</v>
      </c>
      <c r="D271" s="45" t="s">
        <v>158</v>
      </c>
      <c r="E271" s="52" t="s">
        <v>636</v>
      </c>
      <c r="F271" s="57"/>
      <c r="G271" s="58">
        <f>G272</f>
        <v>3749.3999999999996</v>
      </c>
    </row>
    <row r="272" spans="1:9" ht="15.75">
      <c r="A272" s="238" t="s">
        <v>103</v>
      </c>
      <c r="B272" s="66"/>
      <c r="C272" s="48" t="s">
        <v>157</v>
      </c>
      <c r="D272" s="48" t="s">
        <v>158</v>
      </c>
      <c r="E272" s="49" t="s">
        <v>637</v>
      </c>
      <c r="F272" s="69"/>
      <c r="G272" s="70">
        <f>G273+G275</f>
        <v>3749.3999999999996</v>
      </c>
      <c r="H272" s="31"/>
      <c r="I272" s="31"/>
    </row>
    <row r="273" spans="1:9" ht="47.25">
      <c r="A273" s="237" t="s">
        <v>116</v>
      </c>
      <c r="B273" s="66"/>
      <c r="C273" s="48" t="s">
        <v>157</v>
      </c>
      <c r="D273" s="48" t="s">
        <v>158</v>
      </c>
      <c r="E273" s="49" t="s">
        <v>637</v>
      </c>
      <c r="F273" s="56" t="s">
        <v>198</v>
      </c>
      <c r="G273" s="70">
        <f>G274</f>
        <v>3566.7</v>
      </c>
      <c r="H273" s="31"/>
      <c r="I273" s="31"/>
    </row>
    <row r="274" spans="1:7" ht="15.75">
      <c r="A274" s="237" t="s">
        <v>193</v>
      </c>
      <c r="B274" s="66"/>
      <c r="C274" s="48" t="s">
        <v>157</v>
      </c>
      <c r="D274" s="48" t="s">
        <v>158</v>
      </c>
      <c r="E274" s="49" t="s">
        <v>637</v>
      </c>
      <c r="F274" s="56" t="s">
        <v>194</v>
      </c>
      <c r="G274" s="62">
        <f>1546+2020.7</f>
        <v>3566.7</v>
      </c>
    </row>
    <row r="275" spans="1:7" ht="21.75" customHeight="1">
      <c r="A275" s="237" t="s">
        <v>226</v>
      </c>
      <c r="B275" s="55"/>
      <c r="C275" s="48" t="s">
        <v>157</v>
      </c>
      <c r="D275" s="48" t="s">
        <v>158</v>
      </c>
      <c r="E275" s="49" t="s">
        <v>637</v>
      </c>
      <c r="F275" s="56" t="s">
        <v>188</v>
      </c>
      <c r="G275" s="62">
        <f>G276</f>
        <v>182.7</v>
      </c>
    </row>
    <row r="276" spans="1:7" ht="27" customHeight="1">
      <c r="A276" s="257" t="s">
        <v>189</v>
      </c>
      <c r="B276" s="55"/>
      <c r="C276" s="48" t="s">
        <v>157</v>
      </c>
      <c r="D276" s="48" t="s">
        <v>158</v>
      </c>
      <c r="E276" s="49" t="s">
        <v>637</v>
      </c>
      <c r="F276" s="56" t="s">
        <v>187</v>
      </c>
      <c r="G276" s="62">
        <v>182.7</v>
      </c>
    </row>
    <row r="277" spans="1:7" ht="15.75">
      <c r="A277" s="234" t="s">
        <v>142</v>
      </c>
      <c r="B277" s="54"/>
      <c r="C277" s="45" t="s">
        <v>157</v>
      </c>
      <c r="D277" s="45" t="s">
        <v>123</v>
      </c>
      <c r="E277" s="52"/>
      <c r="F277" s="57"/>
      <c r="G277" s="58">
        <f>G278</f>
        <v>720</v>
      </c>
    </row>
    <row r="278" spans="1:7" ht="31.5">
      <c r="A278" s="234" t="s">
        <v>521</v>
      </c>
      <c r="B278" s="66"/>
      <c r="C278" s="45" t="s">
        <v>157</v>
      </c>
      <c r="D278" s="45" t="s">
        <v>158</v>
      </c>
      <c r="E278" s="52" t="s">
        <v>67</v>
      </c>
      <c r="F278" s="67"/>
      <c r="G278" s="68">
        <f>G279</f>
        <v>720</v>
      </c>
    </row>
    <row r="279" spans="1:7" ht="31.5">
      <c r="A279" s="238" t="s">
        <v>92</v>
      </c>
      <c r="B279" s="55"/>
      <c r="C279" s="48" t="s">
        <v>157</v>
      </c>
      <c r="D279" s="48" t="s">
        <v>123</v>
      </c>
      <c r="E279" s="49" t="s">
        <v>638</v>
      </c>
      <c r="F279" s="56"/>
      <c r="G279" s="62">
        <f>G280</f>
        <v>720</v>
      </c>
    </row>
    <row r="280" spans="1:7" ht="47.25">
      <c r="A280" s="237" t="s">
        <v>116</v>
      </c>
      <c r="B280" s="55"/>
      <c r="C280" s="48" t="s">
        <v>157</v>
      </c>
      <c r="D280" s="48" t="s">
        <v>123</v>
      </c>
      <c r="E280" s="49" t="s">
        <v>638</v>
      </c>
      <c r="F280" s="56" t="s">
        <v>198</v>
      </c>
      <c r="G280" s="62">
        <f>G281</f>
        <v>720</v>
      </c>
    </row>
    <row r="281" spans="1:7" ht="25.5" customHeight="1">
      <c r="A281" s="237" t="s">
        <v>193</v>
      </c>
      <c r="B281" s="55"/>
      <c r="C281" s="48" t="s">
        <v>157</v>
      </c>
      <c r="D281" s="48" t="s">
        <v>123</v>
      </c>
      <c r="E281" s="49" t="s">
        <v>638</v>
      </c>
      <c r="F281" s="56" t="s">
        <v>194</v>
      </c>
      <c r="G281" s="62">
        <v>720</v>
      </c>
    </row>
    <row r="282" spans="1:19" ht="31.5" customHeight="1">
      <c r="A282" s="254" t="s">
        <v>522</v>
      </c>
      <c r="B282" s="111" t="s">
        <v>174</v>
      </c>
      <c r="C282" s="169"/>
      <c r="D282" s="169"/>
      <c r="E282" s="170"/>
      <c r="F282" s="169"/>
      <c r="G282" s="314">
        <f>G283+G486</f>
        <v>811573.7150000001</v>
      </c>
      <c r="R282" s="333" t="e">
        <f>G287+G290+G293+#REF!+G296+G302+G305+G308+G311+G314+G317+G320+G324+G330+G333+G336+#REF!+#REF!+G339+G345+G348+G351+G354+G357+G360+G363+G366+G369+G372+G375+G378+#REF!+G383+G387+G393+G396+G406+G409+#REF!+G412+G418+G421+G424+G427+G430+#REF!+G434+G439+G443+G449+G454+G461+G464+G468+G471+G474+G481+G485+G488+G491+G494+G403</f>
        <v>#REF!</v>
      </c>
      <c r="S282" s="333" t="e">
        <f>R282-G282</f>
        <v>#REF!</v>
      </c>
    </row>
    <row r="283" spans="1:7" ht="18.75" customHeight="1">
      <c r="A283" s="234" t="s">
        <v>166</v>
      </c>
      <c r="B283" s="47"/>
      <c r="C283" s="45" t="s">
        <v>129</v>
      </c>
      <c r="D283" s="48"/>
      <c r="E283" s="49"/>
      <c r="F283" s="56"/>
      <c r="G283" s="68">
        <f>G284+G330+G396+G451+G455</f>
        <v>781867.827</v>
      </c>
    </row>
    <row r="284" spans="1:18" ht="18.75" customHeight="1">
      <c r="A284" s="234" t="s">
        <v>151</v>
      </c>
      <c r="B284" s="47"/>
      <c r="C284" s="45" t="s">
        <v>129</v>
      </c>
      <c r="D284" s="45" t="s">
        <v>157</v>
      </c>
      <c r="E284" s="49"/>
      <c r="F284" s="56"/>
      <c r="G284" s="68">
        <f>G285+G326</f>
        <v>257356.811</v>
      </c>
      <c r="R284" s="333">
        <f>G284+G323</f>
        <v>257965.911</v>
      </c>
    </row>
    <row r="285" spans="1:17" ht="15.75">
      <c r="A285" s="234" t="s">
        <v>546</v>
      </c>
      <c r="B285" s="51"/>
      <c r="C285" s="45" t="s">
        <v>129</v>
      </c>
      <c r="D285" s="45" t="s">
        <v>157</v>
      </c>
      <c r="E285" s="52" t="s">
        <v>11</v>
      </c>
      <c r="F285" s="57"/>
      <c r="G285" s="68">
        <f>G286</f>
        <v>257156.811</v>
      </c>
      <c r="Q285" s="334">
        <f>G285+G328+G391+G454+G449+G479</f>
        <v>287454.501</v>
      </c>
    </row>
    <row r="286" spans="1:26" s="307" customFormat="1" ht="31.5">
      <c r="A286" s="258" t="s">
        <v>542</v>
      </c>
      <c r="B286" s="204"/>
      <c r="C286" s="93" t="s">
        <v>129</v>
      </c>
      <c r="D286" s="93" t="s">
        <v>157</v>
      </c>
      <c r="E286" s="98" t="s">
        <v>12</v>
      </c>
      <c r="F286" s="175"/>
      <c r="G286" s="68">
        <f>G287+G290+G293+G296+G299+G302+G305+G311+G314+G317+G320+G323+G308</f>
        <v>257156.811</v>
      </c>
      <c r="H286" s="336"/>
      <c r="I286" s="336"/>
      <c r="J286" s="336"/>
      <c r="K286" s="336"/>
      <c r="L286" s="336"/>
      <c r="M286" s="336"/>
      <c r="N286" s="336"/>
      <c r="O286" s="336"/>
      <c r="P286" s="336"/>
      <c r="Q286" s="337"/>
      <c r="R286" s="336"/>
      <c r="S286" s="336"/>
      <c r="T286" s="336"/>
      <c r="U286" s="336"/>
      <c r="V286" s="336"/>
      <c r="W286" s="336"/>
      <c r="X286" s="336"/>
      <c r="Y286" s="336"/>
      <c r="Z286" s="336"/>
    </row>
    <row r="287" spans="1:26" s="307" customFormat="1" ht="15.75">
      <c r="A287" s="259" t="s">
        <v>104</v>
      </c>
      <c r="B287" s="82"/>
      <c r="C287" s="80" t="s">
        <v>129</v>
      </c>
      <c r="D287" s="80" t="s">
        <v>157</v>
      </c>
      <c r="E287" s="81" t="s">
        <v>27</v>
      </c>
      <c r="F287" s="76"/>
      <c r="G287" s="70">
        <f>G288</f>
        <v>105779.055</v>
      </c>
      <c r="H287" s="336"/>
      <c r="I287" s="336"/>
      <c r="J287" s="336"/>
      <c r="K287" s="336"/>
      <c r="L287" s="336"/>
      <c r="M287" s="336"/>
      <c r="N287" s="336"/>
      <c r="O287" s="336"/>
      <c r="P287" s="336"/>
      <c r="Q287" s="337"/>
      <c r="R287" s="336"/>
      <c r="S287" s="336"/>
      <c r="T287" s="336"/>
      <c r="U287" s="336"/>
      <c r="V287" s="336"/>
      <c r="W287" s="336"/>
      <c r="X287" s="336"/>
      <c r="Y287" s="336"/>
      <c r="Z287" s="336"/>
    </row>
    <row r="288" spans="1:26" s="307" customFormat="1" ht="21.75" customHeight="1">
      <c r="A288" s="260" t="s">
        <v>190</v>
      </c>
      <c r="B288" s="82"/>
      <c r="C288" s="80" t="s">
        <v>129</v>
      </c>
      <c r="D288" s="80" t="s">
        <v>157</v>
      </c>
      <c r="E288" s="81" t="s">
        <v>27</v>
      </c>
      <c r="F288" s="76" t="s">
        <v>178</v>
      </c>
      <c r="G288" s="70">
        <f>G289</f>
        <v>105779.055</v>
      </c>
      <c r="H288" s="336"/>
      <c r="I288" s="336"/>
      <c r="J288" s="336"/>
      <c r="K288" s="336"/>
      <c r="L288" s="336"/>
      <c r="M288" s="336"/>
      <c r="N288" s="336"/>
      <c r="O288" s="336"/>
      <c r="P288" s="336"/>
      <c r="Q288" s="337"/>
      <c r="R288" s="336"/>
      <c r="S288" s="336"/>
      <c r="T288" s="336"/>
      <c r="U288" s="336"/>
      <c r="V288" s="336"/>
      <c r="W288" s="336"/>
      <c r="X288" s="336"/>
      <c r="Y288" s="336"/>
      <c r="Z288" s="336"/>
    </row>
    <row r="289" spans="1:26" s="307" customFormat="1" ht="15.75">
      <c r="A289" s="261" t="s">
        <v>191</v>
      </c>
      <c r="B289" s="82"/>
      <c r="C289" s="80" t="s">
        <v>129</v>
      </c>
      <c r="D289" s="80" t="s">
        <v>157</v>
      </c>
      <c r="E289" s="81" t="s">
        <v>27</v>
      </c>
      <c r="F289" s="76" t="s">
        <v>192</v>
      </c>
      <c r="G289" s="70">
        <v>105779.055</v>
      </c>
      <c r="H289" s="336"/>
      <c r="I289" s="336"/>
      <c r="J289" s="336"/>
      <c r="K289" s="336"/>
      <c r="L289" s="336"/>
      <c r="M289" s="336"/>
      <c r="N289" s="336"/>
      <c r="O289" s="336"/>
      <c r="P289" s="336"/>
      <c r="Q289" s="337"/>
      <c r="R289" s="336"/>
      <c r="S289" s="336"/>
      <c r="T289" s="336"/>
      <c r="U289" s="336"/>
      <c r="V289" s="336"/>
      <c r="W289" s="336"/>
      <c r="X289" s="336"/>
      <c r="Y289" s="336"/>
      <c r="Z289" s="336"/>
    </row>
    <row r="290" spans="1:26" s="307" customFormat="1" ht="15.75">
      <c r="A290" s="244" t="s">
        <v>216</v>
      </c>
      <c r="B290" s="82"/>
      <c r="C290" s="80" t="s">
        <v>129</v>
      </c>
      <c r="D290" s="80" t="s">
        <v>157</v>
      </c>
      <c r="E290" s="81" t="s">
        <v>217</v>
      </c>
      <c r="F290" s="76"/>
      <c r="G290" s="70">
        <f>G291</f>
        <v>620</v>
      </c>
      <c r="H290" s="336"/>
      <c r="I290" s="336"/>
      <c r="J290" s="336"/>
      <c r="K290" s="336"/>
      <c r="L290" s="336"/>
      <c r="M290" s="336"/>
      <c r="N290" s="336"/>
      <c r="O290" s="336"/>
      <c r="P290" s="336"/>
      <c r="Q290" s="337"/>
      <c r="R290" s="336"/>
      <c r="S290" s="336"/>
      <c r="T290" s="336"/>
      <c r="U290" s="336"/>
      <c r="V290" s="336"/>
      <c r="W290" s="336"/>
      <c r="X290" s="336"/>
      <c r="Y290" s="336"/>
      <c r="Z290" s="336"/>
    </row>
    <row r="291" spans="1:7" ht="18" customHeight="1">
      <c r="A291" s="260" t="s">
        <v>190</v>
      </c>
      <c r="B291" s="82"/>
      <c r="C291" s="80" t="s">
        <v>129</v>
      </c>
      <c r="D291" s="80" t="s">
        <v>157</v>
      </c>
      <c r="E291" s="81" t="s">
        <v>217</v>
      </c>
      <c r="F291" s="76" t="s">
        <v>178</v>
      </c>
      <c r="G291" s="70">
        <f>G292</f>
        <v>620</v>
      </c>
    </row>
    <row r="292" spans="1:7" ht="13.5" customHeight="1">
      <c r="A292" s="261" t="s">
        <v>191</v>
      </c>
      <c r="B292" s="82"/>
      <c r="C292" s="80" t="s">
        <v>129</v>
      </c>
      <c r="D292" s="80" t="s">
        <v>157</v>
      </c>
      <c r="E292" s="81" t="s">
        <v>217</v>
      </c>
      <c r="F292" s="76" t="s">
        <v>192</v>
      </c>
      <c r="G292" s="70">
        <v>620</v>
      </c>
    </row>
    <row r="293" spans="1:7" ht="18" customHeight="1">
      <c r="A293" s="262" t="s">
        <v>7</v>
      </c>
      <c r="B293" s="82"/>
      <c r="C293" s="80" t="s">
        <v>129</v>
      </c>
      <c r="D293" s="80" t="s">
        <v>157</v>
      </c>
      <c r="E293" s="76" t="s">
        <v>584</v>
      </c>
      <c r="F293" s="76"/>
      <c r="G293" s="70">
        <f>G294</f>
        <v>300</v>
      </c>
    </row>
    <row r="294" spans="1:7" ht="18" customHeight="1">
      <c r="A294" s="260" t="s">
        <v>190</v>
      </c>
      <c r="B294" s="82"/>
      <c r="C294" s="80" t="s">
        <v>129</v>
      </c>
      <c r="D294" s="80" t="s">
        <v>157</v>
      </c>
      <c r="E294" s="56" t="s">
        <v>584</v>
      </c>
      <c r="F294" s="76" t="s">
        <v>178</v>
      </c>
      <c r="G294" s="70">
        <f>G295</f>
        <v>300</v>
      </c>
    </row>
    <row r="295" spans="1:7" ht="20.25" customHeight="1">
      <c r="A295" s="262" t="s">
        <v>191</v>
      </c>
      <c r="B295" s="82"/>
      <c r="C295" s="80" t="s">
        <v>129</v>
      </c>
      <c r="D295" s="80" t="s">
        <v>157</v>
      </c>
      <c r="E295" s="56" t="s">
        <v>584</v>
      </c>
      <c r="F295" s="76" t="s">
        <v>192</v>
      </c>
      <c r="G295" s="70">
        <v>300</v>
      </c>
    </row>
    <row r="296" spans="1:10" ht="18.75" customHeight="1">
      <c r="A296" s="244" t="s">
        <v>266</v>
      </c>
      <c r="B296" s="86"/>
      <c r="C296" s="80" t="s">
        <v>129</v>
      </c>
      <c r="D296" s="80" t="s">
        <v>157</v>
      </c>
      <c r="E296" s="81" t="s">
        <v>25</v>
      </c>
      <c r="F296" s="76"/>
      <c r="G296" s="70">
        <f aca="true" t="shared" si="2" ref="G296:I297">G297</f>
        <v>600</v>
      </c>
      <c r="H296" s="340">
        <f t="shared" si="2"/>
        <v>0</v>
      </c>
      <c r="I296" s="340" t="e">
        <f t="shared" si="2"/>
        <v>#REF!</v>
      </c>
      <c r="J296" s="341"/>
    </row>
    <row r="297" spans="1:10" ht="15" customHeight="1">
      <c r="A297" s="260" t="s">
        <v>190</v>
      </c>
      <c r="B297" s="86"/>
      <c r="C297" s="80" t="s">
        <v>129</v>
      </c>
      <c r="D297" s="80" t="s">
        <v>157</v>
      </c>
      <c r="E297" s="81" t="s">
        <v>25</v>
      </c>
      <c r="F297" s="76" t="s">
        <v>178</v>
      </c>
      <c r="G297" s="70">
        <f t="shared" si="2"/>
        <v>600</v>
      </c>
      <c r="H297" s="340">
        <f t="shared" si="2"/>
        <v>0</v>
      </c>
      <c r="I297" s="340" t="e">
        <f t="shared" si="2"/>
        <v>#REF!</v>
      </c>
      <c r="J297" s="341"/>
    </row>
    <row r="298" spans="1:10" ht="22.5" customHeight="1">
      <c r="A298" s="261" t="s">
        <v>191</v>
      </c>
      <c r="B298" s="86"/>
      <c r="C298" s="80" t="s">
        <v>129</v>
      </c>
      <c r="D298" s="80" t="s">
        <v>157</v>
      </c>
      <c r="E298" s="81" t="s">
        <v>25</v>
      </c>
      <c r="F298" s="76" t="s">
        <v>192</v>
      </c>
      <c r="G298" s="70">
        <v>600</v>
      </c>
      <c r="H298" s="340">
        <v>0</v>
      </c>
      <c r="I298" s="88" t="e">
        <f>#REF!-H298</f>
        <v>#REF!</v>
      </c>
      <c r="J298" s="342"/>
    </row>
    <row r="299" spans="1:10" ht="31.5">
      <c r="A299" s="244" t="s">
        <v>267</v>
      </c>
      <c r="B299" s="86"/>
      <c r="C299" s="80" t="s">
        <v>129</v>
      </c>
      <c r="D299" s="80" t="s">
        <v>157</v>
      </c>
      <c r="E299" s="81" t="s">
        <v>26</v>
      </c>
      <c r="F299" s="76"/>
      <c r="G299" s="70">
        <f aca="true" t="shared" si="3" ref="G299:I300">G300</f>
        <v>100</v>
      </c>
      <c r="H299" s="88">
        <f t="shared" si="3"/>
        <v>0</v>
      </c>
      <c r="I299" s="88" t="e">
        <f t="shared" si="3"/>
        <v>#REF!</v>
      </c>
      <c r="J299" s="341"/>
    </row>
    <row r="300" spans="1:10" ht="31.5">
      <c r="A300" s="260" t="s">
        <v>190</v>
      </c>
      <c r="B300" s="86"/>
      <c r="C300" s="80" t="s">
        <v>129</v>
      </c>
      <c r="D300" s="80" t="s">
        <v>157</v>
      </c>
      <c r="E300" s="81" t="s">
        <v>26</v>
      </c>
      <c r="F300" s="76" t="s">
        <v>178</v>
      </c>
      <c r="G300" s="70">
        <f t="shared" si="3"/>
        <v>100</v>
      </c>
      <c r="H300" s="88">
        <f t="shared" si="3"/>
        <v>0</v>
      </c>
      <c r="I300" s="88" t="e">
        <f t="shared" si="3"/>
        <v>#REF!</v>
      </c>
      <c r="J300" s="341"/>
    </row>
    <row r="301" spans="1:10" ht="15.75">
      <c r="A301" s="261" t="s">
        <v>191</v>
      </c>
      <c r="B301" s="86"/>
      <c r="C301" s="80" t="s">
        <v>129</v>
      </c>
      <c r="D301" s="80" t="s">
        <v>157</v>
      </c>
      <c r="E301" s="81" t="s">
        <v>26</v>
      </c>
      <c r="F301" s="76" t="s">
        <v>192</v>
      </c>
      <c r="G301" s="70">
        <v>100</v>
      </c>
      <c r="H301" s="88">
        <v>0</v>
      </c>
      <c r="I301" s="88" t="e">
        <f>#REF!-H301</f>
        <v>#REF!</v>
      </c>
      <c r="J301" s="341"/>
    </row>
    <row r="302" spans="1:7" ht="15.75">
      <c r="A302" s="257" t="s">
        <v>268</v>
      </c>
      <c r="B302" s="66"/>
      <c r="C302" s="48" t="s">
        <v>129</v>
      </c>
      <c r="D302" s="48" t="s">
        <v>157</v>
      </c>
      <c r="E302" s="49" t="s">
        <v>425</v>
      </c>
      <c r="F302" s="56"/>
      <c r="G302" s="70">
        <f>G303</f>
        <v>870.57</v>
      </c>
    </row>
    <row r="303" spans="1:7" ht="31.5">
      <c r="A303" s="163" t="s">
        <v>190</v>
      </c>
      <c r="B303" s="66"/>
      <c r="C303" s="48" t="s">
        <v>129</v>
      </c>
      <c r="D303" s="48" t="s">
        <v>157</v>
      </c>
      <c r="E303" s="49" t="s">
        <v>425</v>
      </c>
      <c r="F303" s="56" t="s">
        <v>178</v>
      </c>
      <c r="G303" s="70">
        <f>G304</f>
        <v>870.57</v>
      </c>
    </row>
    <row r="304" spans="1:7" ht="15.75">
      <c r="A304" s="253" t="s">
        <v>191</v>
      </c>
      <c r="B304" s="66"/>
      <c r="C304" s="48" t="s">
        <v>129</v>
      </c>
      <c r="D304" s="48" t="s">
        <v>157</v>
      </c>
      <c r="E304" s="49" t="s">
        <v>425</v>
      </c>
      <c r="F304" s="56" t="s">
        <v>192</v>
      </c>
      <c r="G304" s="70">
        <v>870.57</v>
      </c>
    </row>
    <row r="305" spans="1:7" ht="15.75">
      <c r="A305" s="257" t="s">
        <v>335</v>
      </c>
      <c r="B305" s="66"/>
      <c r="C305" s="48" t="s">
        <v>129</v>
      </c>
      <c r="D305" s="48" t="s">
        <v>157</v>
      </c>
      <c r="E305" s="49" t="s">
        <v>426</v>
      </c>
      <c r="F305" s="56"/>
      <c r="G305" s="70">
        <f>G306</f>
        <v>50</v>
      </c>
    </row>
    <row r="306" spans="1:7" ht="23.25" customHeight="1">
      <c r="A306" s="163" t="s">
        <v>190</v>
      </c>
      <c r="B306" s="66"/>
      <c r="C306" s="48" t="s">
        <v>129</v>
      </c>
      <c r="D306" s="48" t="s">
        <v>157</v>
      </c>
      <c r="E306" s="49" t="s">
        <v>426</v>
      </c>
      <c r="F306" s="56" t="s">
        <v>178</v>
      </c>
      <c r="G306" s="70">
        <f>G307</f>
        <v>50</v>
      </c>
    </row>
    <row r="307" spans="1:7" ht="15.75">
      <c r="A307" s="253" t="s">
        <v>191</v>
      </c>
      <c r="B307" s="66"/>
      <c r="C307" s="48" t="s">
        <v>129</v>
      </c>
      <c r="D307" s="48" t="s">
        <v>157</v>
      </c>
      <c r="E307" s="49" t="s">
        <v>426</v>
      </c>
      <c r="F307" s="56" t="s">
        <v>192</v>
      </c>
      <c r="G307" s="70">
        <v>50</v>
      </c>
    </row>
    <row r="308" spans="1:7" ht="15.75">
      <c r="A308" s="257" t="s">
        <v>585</v>
      </c>
      <c r="B308" s="66"/>
      <c r="C308" s="48" t="s">
        <v>129</v>
      </c>
      <c r="D308" s="48" t="s">
        <v>157</v>
      </c>
      <c r="E308" s="56" t="s">
        <v>705</v>
      </c>
      <c r="F308" s="56"/>
      <c r="G308" s="70">
        <f>G309</f>
        <v>1011.3</v>
      </c>
    </row>
    <row r="309" spans="1:7" ht="21.75" customHeight="1">
      <c r="A309" s="163" t="s">
        <v>190</v>
      </c>
      <c r="B309" s="66"/>
      <c r="C309" s="48" t="s">
        <v>129</v>
      </c>
      <c r="D309" s="48" t="s">
        <v>157</v>
      </c>
      <c r="E309" s="56" t="s">
        <v>705</v>
      </c>
      <c r="F309" s="56" t="s">
        <v>178</v>
      </c>
      <c r="G309" s="70">
        <f>G310</f>
        <v>1011.3</v>
      </c>
    </row>
    <row r="310" spans="1:7" ht="15.75">
      <c r="A310" s="253" t="s">
        <v>191</v>
      </c>
      <c r="B310" s="66"/>
      <c r="C310" s="48" t="s">
        <v>129</v>
      </c>
      <c r="D310" s="48" t="s">
        <v>157</v>
      </c>
      <c r="E310" s="56" t="s">
        <v>705</v>
      </c>
      <c r="F310" s="56" t="s">
        <v>192</v>
      </c>
      <c r="G310" s="70">
        <v>1011.3</v>
      </c>
    </row>
    <row r="311" spans="1:7" ht="63">
      <c r="A311" s="263" t="s">
        <v>249</v>
      </c>
      <c r="B311" s="66"/>
      <c r="C311" s="48" t="s">
        <v>129</v>
      </c>
      <c r="D311" s="48" t="s">
        <v>157</v>
      </c>
      <c r="E311" s="49" t="s">
        <v>244</v>
      </c>
      <c r="F311" s="56"/>
      <c r="G311" s="70">
        <f>G312</f>
        <v>1229.186</v>
      </c>
    </row>
    <row r="312" spans="1:7" ht="31.5">
      <c r="A312" s="163" t="s">
        <v>190</v>
      </c>
      <c r="B312" s="66"/>
      <c r="C312" s="48" t="s">
        <v>129</v>
      </c>
      <c r="D312" s="48" t="s">
        <v>157</v>
      </c>
      <c r="E312" s="49" t="s">
        <v>244</v>
      </c>
      <c r="F312" s="56" t="s">
        <v>178</v>
      </c>
      <c r="G312" s="70">
        <f>G313</f>
        <v>1229.186</v>
      </c>
    </row>
    <row r="313" spans="1:7" ht="15.75">
      <c r="A313" s="253" t="s">
        <v>191</v>
      </c>
      <c r="B313" s="66"/>
      <c r="C313" s="48" t="s">
        <v>129</v>
      </c>
      <c r="D313" s="48" t="s">
        <v>157</v>
      </c>
      <c r="E313" s="49" t="s">
        <v>244</v>
      </c>
      <c r="F313" s="56" t="s">
        <v>192</v>
      </c>
      <c r="G313" s="70">
        <v>1229.186</v>
      </c>
    </row>
    <row r="314" spans="1:7" ht="15.75">
      <c r="A314" s="34" t="s">
        <v>272</v>
      </c>
      <c r="B314" s="47"/>
      <c r="C314" s="48" t="s">
        <v>129</v>
      </c>
      <c r="D314" s="48" t="s">
        <v>157</v>
      </c>
      <c r="E314" s="49" t="s">
        <v>78</v>
      </c>
      <c r="F314" s="56"/>
      <c r="G314" s="62">
        <f>G315</f>
        <v>144906</v>
      </c>
    </row>
    <row r="315" spans="1:7" ht="31.5">
      <c r="A315" s="163" t="s">
        <v>190</v>
      </c>
      <c r="B315" s="47"/>
      <c r="C315" s="48" t="s">
        <v>176</v>
      </c>
      <c r="D315" s="48" t="s">
        <v>157</v>
      </c>
      <c r="E315" s="49" t="s">
        <v>78</v>
      </c>
      <c r="F315" s="56" t="s">
        <v>178</v>
      </c>
      <c r="G315" s="70">
        <f>G316</f>
        <v>144906</v>
      </c>
    </row>
    <row r="316" spans="1:7" ht="15.75">
      <c r="A316" s="253" t="s">
        <v>191</v>
      </c>
      <c r="B316" s="47"/>
      <c r="C316" s="48" t="s">
        <v>129</v>
      </c>
      <c r="D316" s="48" t="s">
        <v>157</v>
      </c>
      <c r="E316" s="49" t="s">
        <v>78</v>
      </c>
      <c r="F316" s="56" t="s">
        <v>192</v>
      </c>
      <c r="G316" s="70">
        <v>144906</v>
      </c>
    </row>
    <row r="317" spans="1:7" ht="15.75">
      <c r="A317" s="257" t="s">
        <v>585</v>
      </c>
      <c r="B317" s="66"/>
      <c r="C317" s="48" t="s">
        <v>129</v>
      </c>
      <c r="D317" s="48" t="s">
        <v>157</v>
      </c>
      <c r="E317" s="56" t="s">
        <v>586</v>
      </c>
      <c r="F317" s="56"/>
      <c r="G317" s="70">
        <f>G318</f>
        <v>1031.6</v>
      </c>
    </row>
    <row r="318" spans="1:7" ht="31.5">
      <c r="A318" s="163" t="s">
        <v>190</v>
      </c>
      <c r="B318" s="66"/>
      <c r="C318" s="48" t="s">
        <v>129</v>
      </c>
      <c r="D318" s="48" t="s">
        <v>157</v>
      </c>
      <c r="E318" s="56" t="s">
        <v>586</v>
      </c>
      <c r="F318" s="56" t="s">
        <v>178</v>
      </c>
      <c r="G318" s="70">
        <f>G319</f>
        <v>1031.6</v>
      </c>
    </row>
    <row r="319" spans="1:7" ht="15.75">
      <c r="A319" s="253" t="s">
        <v>191</v>
      </c>
      <c r="B319" s="66"/>
      <c r="C319" s="48" t="s">
        <v>129</v>
      </c>
      <c r="D319" s="48" t="s">
        <v>157</v>
      </c>
      <c r="E319" s="56" t="s">
        <v>586</v>
      </c>
      <c r="F319" s="56" t="s">
        <v>192</v>
      </c>
      <c r="G319" s="70">
        <f>800+231.6</f>
        <v>1031.6</v>
      </c>
    </row>
    <row r="320" spans="1:7" ht="78.75">
      <c r="A320" s="235" t="s">
        <v>552</v>
      </c>
      <c r="B320" s="47"/>
      <c r="C320" s="48" t="s">
        <v>129</v>
      </c>
      <c r="D320" s="48" t="s">
        <v>157</v>
      </c>
      <c r="E320" s="49" t="s">
        <v>420</v>
      </c>
      <c r="F320" s="56"/>
      <c r="G320" s="70">
        <f>G321</f>
        <v>50</v>
      </c>
    </row>
    <row r="321" spans="1:7" ht="31.5">
      <c r="A321" s="163" t="s">
        <v>190</v>
      </c>
      <c r="B321" s="47"/>
      <c r="C321" s="48" t="s">
        <v>176</v>
      </c>
      <c r="D321" s="48" t="s">
        <v>157</v>
      </c>
      <c r="E321" s="49" t="s">
        <v>420</v>
      </c>
      <c r="F321" s="56" t="s">
        <v>178</v>
      </c>
      <c r="G321" s="70">
        <f>G322</f>
        <v>50</v>
      </c>
    </row>
    <row r="322" spans="1:7" ht="15.75">
      <c r="A322" s="235" t="s">
        <v>191</v>
      </c>
      <c r="B322" s="47"/>
      <c r="C322" s="48" t="s">
        <v>129</v>
      </c>
      <c r="D322" s="48" t="s">
        <v>157</v>
      </c>
      <c r="E322" s="49" t="s">
        <v>420</v>
      </c>
      <c r="F322" s="56" t="s">
        <v>192</v>
      </c>
      <c r="G322" s="70">
        <v>50</v>
      </c>
    </row>
    <row r="323" spans="1:26" s="13" customFormat="1" ht="31.5">
      <c r="A323" s="244" t="s">
        <v>595</v>
      </c>
      <c r="B323" s="86"/>
      <c r="C323" s="80" t="s">
        <v>129</v>
      </c>
      <c r="D323" s="80" t="s">
        <v>157</v>
      </c>
      <c r="E323" s="56" t="s">
        <v>596</v>
      </c>
      <c r="F323" s="76"/>
      <c r="G323" s="70">
        <f>G324</f>
        <v>609.1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2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7" ht="15.75" customHeight="1">
      <c r="A324" s="260" t="s">
        <v>190</v>
      </c>
      <c r="B324" s="86"/>
      <c r="C324" s="80" t="s">
        <v>129</v>
      </c>
      <c r="D324" s="80" t="s">
        <v>157</v>
      </c>
      <c r="E324" s="56" t="s">
        <v>596</v>
      </c>
      <c r="F324" s="76" t="s">
        <v>178</v>
      </c>
      <c r="G324" s="70">
        <f>G325</f>
        <v>609.1</v>
      </c>
    </row>
    <row r="325" spans="1:7" ht="21" customHeight="1">
      <c r="A325" s="262" t="s">
        <v>191</v>
      </c>
      <c r="B325" s="86"/>
      <c r="C325" s="80" t="s">
        <v>129</v>
      </c>
      <c r="D325" s="80" t="s">
        <v>157</v>
      </c>
      <c r="E325" s="56" t="s">
        <v>596</v>
      </c>
      <c r="F325" s="76" t="s">
        <v>192</v>
      </c>
      <c r="G325" s="70">
        <v>609.1</v>
      </c>
    </row>
    <row r="326" spans="1:7" ht="31.5">
      <c r="A326" s="234" t="s">
        <v>539</v>
      </c>
      <c r="B326" s="204"/>
      <c r="C326" s="93" t="s">
        <v>129</v>
      </c>
      <c r="D326" s="93" t="s">
        <v>157</v>
      </c>
      <c r="E326" s="98" t="s">
        <v>80</v>
      </c>
      <c r="F326" s="175"/>
      <c r="G326" s="58">
        <f>G327</f>
        <v>200</v>
      </c>
    </row>
    <row r="327" spans="1:18" ht="15.75">
      <c r="A327" s="259" t="s">
        <v>540</v>
      </c>
      <c r="B327" s="86"/>
      <c r="C327" s="80" t="s">
        <v>129</v>
      </c>
      <c r="D327" s="80" t="s">
        <v>157</v>
      </c>
      <c r="E327" s="81" t="s">
        <v>81</v>
      </c>
      <c r="F327" s="76"/>
      <c r="G327" s="62">
        <f>G328</f>
        <v>200</v>
      </c>
      <c r="R327" s="333">
        <f>G327+G381+G386</f>
        <v>474.26599999999996</v>
      </c>
    </row>
    <row r="328" spans="1:7" ht="31.5">
      <c r="A328" s="260" t="s">
        <v>190</v>
      </c>
      <c r="B328" s="86"/>
      <c r="C328" s="80" t="s">
        <v>129</v>
      </c>
      <c r="D328" s="80" t="s">
        <v>157</v>
      </c>
      <c r="E328" s="81" t="s">
        <v>81</v>
      </c>
      <c r="F328" s="76" t="s">
        <v>178</v>
      </c>
      <c r="G328" s="62">
        <f>G329</f>
        <v>200</v>
      </c>
    </row>
    <row r="329" spans="1:7" ht="15.75">
      <c r="A329" s="261" t="s">
        <v>191</v>
      </c>
      <c r="B329" s="86"/>
      <c r="C329" s="80" t="s">
        <v>129</v>
      </c>
      <c r="D329" s="80" t="s">
        <v>157</v>
      </c>
      <c r="E329" s="81" t="s">
        <v>81</v>
      </c>
      <c r="F329" s="76" t="s">
        <v>192</v>
      </c>
      <c r="G329" s="62">
        <v>200</v>
      </c>
    </row>
    <row r="330" spans="1:7" ht="15.75">
      <c r="A330" s="258" t="s">
        <v>167</v>
      </c>
      <c r="B330" s="80"/>
      <c r="C330" s="93" t="s">
        <v>129</v>
      </c>
      <c r="D330" s="93" t="s">
        <v>171</v>
      </c>
      <c r="E330" s="81"/>
      <c r="F330" s="76"/>
      <c r="G330" s="58">
        <f>G331+G387+G392</f>
        <v>438698.36600000004</v>
      </c>
    </row>
    <row r="331" spans="1:7" ht="15.75">
      <c r="A331" s="234" t="s">
        <v>546</v>
      </c>
      <c r="B331" s="93"/>
      <c r="C331" s="93" t="s">
        <v>129</v>
      </c>
      <c r="D331" s="93" t="s">
        <v>171</v>
      </c>
      <c r="E331" s="98" t="s">
        <v>11</v>
      </c>
      <c r="F331" s="175"/>
      <c r="G331" s="58">
        <f>G332</f>
        <v>438198.36600000004</v>
      </c>
    </row>
    <row r="332" spans="1:7" ht="31.5">
      <c r="A332" s="258" t="s">
        <v>543</v>
      </c>
      <c r="B332" s="93"/>
      <c r="C332" s="93" t="s">
        <v>129</v>
      </c>
      <c r="D332" s="93" t="s">
        <v>171</v>
      </c>
      <c r="E332" s="98" t="s">
        <v>28</v>
      </c>
      <c r="F332" s="175"/>
      <c r="G332" s="58">
        <f>G333+G336+G339+G342+G345+G351+G354+G357+G363+G366+G369+G372+G375+G378+G381+G360+G384</f>
        <v>438198.36600000004</v>
      </c>
    </row>
    <row r="333" spans="1:7" ht="18.75" customHeight="1">
      <c r="A333" s="259" t="s">
        <v>104</v>
      </c>
      <c r="B333" s="82"/>
      <c r="C333" s="80" t="s">
        <v>129</v>
      </c>
      <c r="D333" s="80" t="s">
        <v>171</v>
      </c>
      <c r="E333" s="81" t="s">
        <v>29</v>
      </c>
      <c r="F333" s="76"/>
      <c r="G333" s="70">
        <f>G334</f>
        <v>146838.75</v>
      </c>
    </row>
    <row r="334" spans="1:7" ht="31.5">
      <c r="A334" s="260" t="s">
        <v>190</v>
      </c>
      <c r="B334" s="82"/>
      <c r="C334" s="80" t="s">
        <v>129</v>
      </c>
      <c r="D334" s="80" t="s">
        <v>171</v>
      </c>
      <c r="E334" s="81" t="s">
        <v>29</v>
      </c>
      <c r="F334" s="76" t="s">
        <v>178</v>
      </c>
      <c r="G334" s="62">
        <f>G335</f>
        <v>146838.75</v>
      </c>
    </row>
    <row r="335" spans="1:26" s="307" customFormat="1" ht="15.75">
      <c r="A335" s="261" t="s">
        <v>191</v>
      </c>
      <c r="B335" s="82"/>
      <c r="C335" s="80" t="s">
        <v>129</v>
      </c>
      <c r="D335" s="80" t="s">
        <v>171</v>
      </c>
      <c r="E335" s="81" t="s">
        <v>29</v>
      </c>
      <c r="F335" s="76" t="s">
        <v>192</v>
      </c>
      <c r="G335" s="62">
        <v>146838.75</v>
      </c>
      <c r="H335" s="336"/>
      <c r="I335" s="336"/>
      <c r="J335" s="336"/>
      <c r="K335" s="336"/>
      <c r="L335" s="336"/>
      <c r="M335" s="336"/>
      <c r="N335" s="336"/>
      <c r="O335" s="336"/>
      <c r="P335" s="336"/>
      <c r="Q335" s="337"/>
      <c r="R335" s="336"/>
      <c r="S335" s="336"/>
      <c r="T335" s="336"/>
      <c r="U335" s="336"/>
      <c r="V335" s="336"/>
      <c r="W335" s="336"/>
      <c r="X335" s="336"/>
      <c r="Y335" s="336"/>
      <c r="Z335" s="336"/>
    </row>
    <row r="336" spans="1:26" s="307" customFormat="1" ht="15.75">
      <c r="A336" s="244" t="s">
        <v>216</v>
      </c>
      <c r="B336" s="82"/>
      <c r="C336" s="80" t="s">
        <v>129</v>
      </c>
      <c r="D336" s="80" t="s">
        <v>171</v>
      </c>
      <c r="E336" s="81" t="s">
        <v>222</v>
      </c>
      <c r="F336" s="76"/>
      <c r="G336" s="62">
        <f>G337</f>
        <v>1000</v>
      </c>
      <c r="H336" s="336"/>
      <c r="I336" s="336"/>
      <c r="J336" s="336"/>
      <c r="K336" s="336"/>
      <c r="L336" s="336"/>
      <c r="M336" s="336"/>
      <c r="N336" s="336"/>
      <c r="O336" s="336"/>
      <c r="P336" s="336"/>
      <c r="Q336" s="337"/>
      <c r="R336" s="336"/>
      <c r="S336" s="336"/>
      <c r="T336" s="336"/>
      <c r="U336" s="336"/>
      <c r="V336" s="336"/>
      <c r="W336" s="336"/>
      <c r="X336" s="336"/>
      <c r="Y336" s="336"/>
      <c r="Z336" s="336"/>
    </row>
    <row r="337" spans="1:26" s="307" customFormat="1" ht="31.5">
      <c r="A337" s="260" t="s">
        <v>190</v>
      </c>
      <c r="B337" s="82"/>
      <c r="C337" s="80" t="s">
        <v>129</v>
      </c>
      <c r="D337" s="80" t="s">
        <v>171</v>
      </c>
      <c r="E337" s="81" t="s">
        <v>222</v>
      </c>
      <c r="F337" s="76" t="s">
        <v>178</v>
      </c>
      <c r="G337" s="62">
        <f>G338</f>
        <v>1000</v>
      </c>
      <c r="H337" s="336"/>
      <c r="I337" s="336"/>
      <c r="J337" s="336"/>
      <c r="K337" s="336"/>
      <c r="L337" s="336"/>
      <c r="M337" s="336"/>
      <c r="N337" s="336"/>
      <c r="O337" s="336"/>
      <c r="P337" s="336"/>
      <c r="Q337" s="337"/>
      <c r="R337" s="336"/>
      <c r="S337" s="336"/>
      <c r="T337" s="336"/>
      <c r="U337" s="336"/>
      <c r="V337" s="336"/>
      <c r="W337" s="336"/>
      <c r="X337" s="336"/>
      <c r="Y337" s="336"/>
      <c r="Z337" s="336"/>
    </row>
    <row r="338" spans="1:26" s="307" customFormat="1" ht="15.75">
      <c r="A338" s="261" t="s">
        <v>191</v>
      </c>
      <c r="B338" s="82"/>
      <c r="C338" s="80" t="s">
        <v>129</v>
      </c>
      <c r="D338" s="80" t="s">
        <v>171</v>
      </c>
      <c r="E338" s="81" t="s">
        <v>222</v>
      </c>
      <c r="F338" s="76" t="s">
        <v>192</v>
      </c>
      <c r="G338" s="62">
        <v>1000</v>
      </c>
      <c r="H338" s="336"/>
      <c r="I338" s="336"/>
      <c r="J338" s="336"/>
      <c r="K338" s="336"/>
      <c r="L338" s="336"/>
      <c r="M338" s="336"/>
      <c r="N338" s="336"/>
      <c r="O338" s="336"/>
      <c r="P338" s="336"/>
      <c r="Q338" s="337"/>
      <c r="R338" s="336"/>
      <c r="S338" s="336"/>
      <c r="T338" s="336"/>
      <c r="U338" s="336"/>
      <c r="V338" s="336"/>
      <c r="W338" s="336"/>
      <c r="X338" s="336"/>
      <c r="Y338" s="336"/>
      <c r="Z338" s="336"/>
    </row>
    <row r="339" spans="1:26" s="307" customFormat="1" ht="31.5">
      <c r="A339" s="305" t="s">
        <v>632</v>
      </c>
      <c r="B339" s="82"/>
      <c r="C339" s="80" t="s">
        <v>129</v>
      </c>
      <c r="D339" s="80" t="s">
        <v>171</v>
      </c>
      <c r="E339" s="76" t="s">
        <v>413</v>
      </c>
      <c r="F339" s="76"/>
      <c r="G339" s="62">
        <f>G340</f>
        <v>1000</v>
      </c>
      <c r="H339" s="336"/>
      <c r="I339" s="336"/>
      <c r="J339" s="336"/>
      <c r="K339" s="336"/>
      <c r="L339" s="336"/>
      <c r="M339" s="336"/>
      <c r="N339" s="336"/>
      <c r="O339" s="336"/>
      <c r="P339" s="336"/>
      <c r="Q339" s="337"/>
      <c r="R339" s="336"/>
      <c r="S339" s="336"/>
      <c r="T339" s="336"/>
      <c r="U339" s="336"/>
      <c r="V339" s="336"/>
      <c r="W339" s="336"/>
      <c r="X339" s="336"/>
      <c r="Y339" s="336"/>
      <c r="Z339" s="336"/>
    </row>
    <row r="340" spans="1:26" s="307" customFormat="1" ht="31.5">
      <c r="A340" s="260" t="s">
        <v>190</v>
      </c>
      <c r="B340" s="82"/>
      <c r="C340" s="80" t="s">
        <v>129</v>
      </c>
      <c r="D340" s="80" t="s">
        <v>171</v>
      </c>
      <c r="E340" s="76" t="s">
        <v>413</v>
      </c>
      <c r="F340" s="76" t="s">
        <v>178</v>
      </c>
      <c r="G340" s="62">
        <f>G341</f>
        <v>1000</v>
      </c>
      <c r="H340" s="336"/>
      <c r="I340" s="336"/>
      <c r="J340" s="336"/>
      <c r="K340" s="336"/>
      <c r="L340" s="336"/>
      <c r="M340" s="336"/>
      <c r="N340" s="336"/>
      <c r="O340" s="336"/>
      <c r="P340" s="336"/>
      <c r="Q340" s="337"/>
      <c r="R340" s="336"/>
      <c r="S340" s="336"/>
      <c r="T340" s="336"/>
      <c r="U340" s="336"/>
      <c r="V340" s="336"/>
      <c r="W340" s="336"/>
      <c r="X340" s="336"/>
      <c r="Y340" s="336"/>
      <c r="Z340" s="336"/>
    </row>
    <row r="341" spans="1:26" s="307" customFormat="1" ht="15.75">
      <c r="A341" s="261" t="s">
        <v>191</v>
      </c>
      <c r="B341" s="82"/>
      <c r="C341" s="80" t="s">
        <v>129</v>
      </c>
      <c r="D341" s="80" t="s">
        <v>171</v>
      </c>
      <c r="E341" s="76" t="s">
        <v>413</v>
      </c>
      <c r="F341" s="76" t="s">
        <v>192</v>
      </c>
      <c r="G341" s="62">
        <v>1000</v>
      </c>
      <c r="H341" s="336"/>
      <c r="I341" s="336"/>
      <c r="J341" s="336"/>
      <c r="K341" s="336"/>
      <c r="L341" s="336"/>
      <c r="M341" s="336"/>
      <c r="N341" s="336"/>
      <c r="O341" s="336"/>
      <c r="P341" s="336"/>
      <c r="Q341" s="337"/>
      <c r="R341" s="336"/>
      <c r="S341" s="336"/>
      <c r="T341" s="336"/>
      <c r="U341" s="336"/>
      <c r="V341" s="336"/>
      <c r="W341" s="336"/>
      <c r="X341" s="336"/>
      <c r="Y341" s="336"/>
      <c r="Z341" s="336"/>
    </row>
    <row r="342" spans="1:26" s="307" customFormat="1" ht="15.75">
      <c r="A342" s="244" t="s">
        <v>266</v>
      </c>
      <c r="B342" s="86"/>
      <c r="C342" s="80" t="s">
        <v>129</v>
      </c>
      <c r="D342" s="80" t="s">
        <v>171</v>
      </c>
      <c r="E342" s="81" t="s">
        <v>30</v>
      </c>
      <c r="F342" s="76"/>
      <c r="G342" s="62">
        <f>G343</f>
        <v>2560.1</v>
      </c>
      <c r="H342" s="336"/>
      <c r="I342" s="336"/>
      <c r="J342" s="336"/>
      <c r="K342" s="336"/>
      <c r="L342" s="336"/>
      <c r="M342" s="336"/>
      <c r="N342" s="336"/>
      <c r="O342" s="336"/>
      <c r="P342" s="336"/>
      <c r="Q342" s="337"/>
      <c r="R342" s="336"/>
      <c r="S342" s="336"/>
      <c r="T342" s="336"/>
      <c r="U342" s="336"/>
      <c r="V342" s="336"/>
      <c r="W342" s="336"/>
      <c r="X342" s="336"/>
      <c r="Y342" s="336"/>
      <c r="Z342" s="336"/>
    </row>
    <row r="343" spans="1:26" s="307" customFormat="1" ht="31.5">
      <c r="A343" s="260" t="s">
        <v>190</v>
      </c>
      <c r="B343" s="86"/>
      <c r="C343" s="80" t="s">
        <v>129</v>
      </c>
      <c r="D343" s="80" t="s">
        <v>171</v>
      </c>
      <c r="E343" s="81" t="s">
        <v>30</v>
      </c>
      <c r="F343" s="76" t="s">
        <v>178</v>
      </c>
      <c r="G343" s="62">
        <f>G344</f>
        <v>2560.1</v>
      </c>
      <c r="H343" s="336"/>
      <c r="I343" s="336"/>
      <c r="J343" s="336"/>
      <c r="K343" s="336"/>
      <c r="L343" s="336"/>
      <c r="M343" s="336"/>
      <c r="N343" s="336"/>
      <c r="O343" s="336"/>
      <c r="P343" s="336"/>
      <c r="Q343" s="337"/>
      <c r="R343" s="336"/>
      <c r="S343" s="336"/>
      <c r="T343" s="336"/>
      <c r="U343" s="336"/>
      <c r="V343" s="336"/>
      <c r="W343" s="336"/>
      <c r="X343" s="336"/>
      <c r="Y343" s="336"/>
      <c r="Z343" s="336"/>
    </row>
    <row r="344" spans="1:26" s="307" customFormat="1" ht="15.75">
      <c r="A344" s="261" t="s">
        <v>191</v>
      </c>
      <c r="B344" s="86"/>
      <c r="C344" s="80" t="s">
        <v>129</v>
      </c>
      <c r="D344" s="80" t="s">
        <v>171</v>
      </c>
      <c r="E344" s="81" t="s">
        <v>30</v>
      </c>
      <c r="F344" s="76" t="s">
        <v>192</v>
      </c>
      <c r="G344" s="62">
        <v>2560.1</v>
      </c>
      <c r="H344" s="336"/>
      <c r="I344" s="336"/>
      <c r="J344" s="336"/>
      <c r="K344" s="336"/>
      <c r="L344" s="336"/>
      <c r="M344" s="336"/>
      <c r="N344" s="336"/>
      <c r="O344" s="336"/>
      <c r="P344" s="336"/>
      <c r="Q344" s="337"/>
      <c r="R344" s="336"/>
      <c r="S344" s="336"/>
      <c r="T344" s="336"/>
      <c r="U344" s="336"/>
      <c r="V344" s="336"/>
      <c r="W344" s="336"/>
      <c r="X344" s="336"/>
      <c r="Y344" s="336"/>
      <c r="Z344" s="336"/>
    </row>
    <row r="345" spans="1:26" s="307" customFormat="1" ht="31.5">
      <c r="A345" s="244" t="s">
        <v>267</v>
      </c>
      <c r="B345" s="86"/>
      <c r="C345" s="80" t="s">
        <v>129</v>
      </c>
      <c r="D345" s="80" t="s">
        <v>171</v>
      </c>
      <c r="E345" s="81" t="s">
        <v>31</v>
      </c>
      <c r="F345" s="76"/>
      <c r="G345" s="62">
        <f>G349+G346</f>
        <v>422.5</v>
      </c>
      <c r="H345" s="336"/>
      <c r="I345" s="336"/>
      <c r="J345" s="336"/>
      <c r="K345" s="336"/>
      <c r="L345" s="336"/>
      <c r="M345" s="336"/>
      <c r="N345" s="336"/>
      <c r="O345" s="336"/>
      <c r="P345" s="336"/>
      <c r="Q345" s="337"/>
      <c r="R345" s="336"/>
      <c r="S345" s="336"/>
      <c r="T345" s="336"/>
      <c r="U345" s="336"/>
      <c r="V345" s="336"/>
      <c r="W345" s="336"/>
      <c r="X345" s="336"/>
      <c r="Y345" s="336"/>
      <c r="Z345" s="336"/>
    </row>
    <row r="346" spans="1:26" s="307" customFormat="1" ht="15.75">
      <c r="A346" s="248" t="s">
        <v>89</v>
      </c>
      <c r="B346" s="86"/>
      <c r="C346" s="80" t="s">
        <v>129</v>
      </c>
      <c r="D346" s="80" t="s">
        <v>171</v>
      </c>
      <c r="E346" s="81" t="s">
        <v>31</v>
      </c>
      <c r="F346" s="76" t="s">
        <v>85</v>
      </c>
      <c r="G346" s="62">
        <f>G347+G348</f>
        <v>252.5</v>
      </c>
      <c r="H346" s="336"/>
      <c r="I346" s="336"/>
      <c r="J346" s="336"/>
      <c r="K346" s="336"/>
      <c r="L346" s="336"/>
      <c r="M346" s="336"/>
      <c r="N346" s="336"/>
      <c r="O346" s="336"/>
      <c r="P346" s="336"/>
      <c r="Q346" s="337"/>
      <c r="R346" s="336"/>
      <c r="S346" s="336"/>
      <c r="T346" s="336"/>
      <c r="U346" s="336"/>
      <c r="V346" s="336"/>
      <c r="W346" s="336"/>
      <c r="X346" s="336"/>
      <c r="Y346" s="336"/>
      <c r="Z346" s="336"/>
    </row>
    <row r="347" spans="1:26" s="307" customFormat="1" ht="15.75">
      <c r="A347" s="262" t="s">
        <v>84</v>
      </c>
      <c r="B347" s="86"/>
      <c r="C347" s="80" t="s">
        <v>129</v>
      </c>
      <c r="D347" s="80" t="s">
        <v>171</v>
      </c>
      <c r="E347" s="81" t="s">
        <v>31</v>
      </c>
      <c r="F347" s="76" t="s">
        <v>86</v>
      </c>
      <c r="G347" s="62">
        <v>180</v>
      </c>
      <c r="H347" s="336"/>
      <c r="I347" s="336"/>
      <c r="J347" s="336"/>
      <c r="K347" s="336"/>
      <c r="L347" s="336"/>
      <c r="M347" s="336"/>
      <c r="N347" s="336"/>
      <c r="O347" s="336"/>
      <c r="P347" s="336"/>
      <c r="Q347" s="337"/>
      <c r="R347" s="336"/>
      <c r="S347" s="336"/>
      <c r="T347" s="336"/>
      <c r="U347" s="336"/>
      <c r="V347" s="336"/>
      <c r="W347" s="336"/>
      <c r="X347" s="336"/>
      <c r="Y347" s="336"/>
      <c r="Z347" s="336"/>
    </row>
    <row r="348" spans="1:26" s="307" customFormat="1" ht="15.75">
      <c r="A348" s="264" t="s">
        <v>235</v>
      </c>
      <c r="B348" s="86"/>
      <c r="C348" s="80" t="s">
        <v>129</v>
      </c>
      <c r="D348" s="80" t="s">
        <v>171</v>
      </c>
      <c r="E348" s="81" t="s">
        <v>31</v>
      </c>
      <c r="F348" s="76" t="s">
        <v>234</v>
      </c>
      <c r="G348" s="62">
        <v>72.5</v>
      </c>
      <c r="H348" s="336"/>
      <c r="I348" s="336"/>
      <c r="J348" s="336"/>
      <c r="K348" s="336"/>
      <c r="L348" s="336"/>
      <c r="M348" s="336"/>
      <c r="N348" s="336"/>
      <c r="O348" s="336"/>
      <c r="P348" s="336"/>
      <c r="Q348" s="337"/>
      <c r="R348" s="336"/>
      <c r="S348" s="336"/>
      <c r="T348" s="336"/>
      <c r="U348" s="336"/>
      <c r="V348" s="336"/>
      <c r="W348" s="336"/>
      <c r="X348" s="336"/>
      <c r="Y348" s="336"/>
      <c r="Z348" s="336"/>
    </row>
    <row r="349" spans="1:26" s="307" customFormat="1" ht="31.5">
      <c r="A349" s="260" t="s">
        <v>190</v>
      </c>
      <c r="B349" s="86"/>
      <c r="C349" s="80" t="s">
        <v>129</v>
      </c>
      <c r="D349" s="80" t="s">
        <v>171</v>
      </c>
      <c r="E349" s="81" t="s">
        <v>31</v>
      </c>
      <c r="F349" s="76" t="s">
        <v>178</v>
      </c>
      <c r="G349" s="62">
        <f>G350</f>
        <v>170</v>
      </c>
      <c r="H349" s="336"/>
      <c r="I349" s="336"/>
      <c r="J349" s="336"/>
      <c r="K349" s="336"/>
      <c r="L349" s="336"/>
      <c r="M349" s="336"/>
      <c r="N349" s="336"/>
      <c r="O349" s="336"/>
      <c r="P349" s="336"/>
      <c r="Q349" s="337"/>
      <c r="R349" s="336"/>
      <c r="S349" s="336"/>
      <c r="T349" s="336"/>
      <c r="U349" s="336"/>
      <c r="V349" s="336"/>
      <c r="W349" s="336"/>
      <c r="X349" s="336"/>
      <c r="Y349" s="336"/>
      <c r="Z349" s="336"/>
    </row>
    <row r="350" spans="1:26" s="307" customFormat="1" ht="15.75">
      <c r="A350" s="261" t="s">
        <v>191</v>
      </c>
      <c r="B350" s="86"/>
      <c r="C350" s="80" t="s">
        <v>129</v>
      </c>
      <c r="D350" s="80" t="s">
        <v>171</v>
      </c>
      <c r="E350" s="81" t="s">
        <v>31</v>
      </c>
      <c r="F350" s="76" t="s">
        <v>192</v>
      </c>
      <c r="G350" s="62">
        <v>170</v>
      </c>
      <c r="H350" s="336"/>
      <c r="I350" s="336"/>
      <c r="J350" s="336"/>
      <c r="K350" s="336"/>
      <c r="L350" s="336"/>
      <c r="M350" s="336"/>
      <c r="N350" s="336"/>
      <c r="O350" s="336"/>
      <c r="P350" s="336"/>
      <c r="Q350" s="337"/>
      <c r="R350" s="336"/>
      <c r="S350" s="336"/>
      <c r="T350" s="336"/>
      <c r="U350" s="336"/>
      <c r="V350" s="336"/>
      <c r="W350" s="336"/>
      <c r="X350" s="336"/>
      <c r="Y350" s="336"/>
      <c r="Z350" s="336"/>
    </row>
    <row r="351" spans="1:26" s="307" customFormat="1" ht="15.75">
      <c r="A351" s="257" t="s">
        <v>268</v>
      </c>
      <c r="B351" s="66"/>
      <c r="C351" s="48" t="s">
        <v>129</v>
      </c>
      <c r="D351" s="48" t="s">
        <v>171</v>
      </c>
      <c r="E351" s="49" t="s">
        <v>32</v>
      </c>
      <c r="F351" s="56"/>
      <c r="G351" s="62">
        <f>G352</f>
        <v>2853.4</v>
      </c>
      <c r="H351" s="336"/>
      <c r="I351" s="336"/>
      <c r="J351" s="336"/>
      <c r="K351" s="336"/>
      <c r="L351" s="336"/>
      <c r="M351" s="336"/>
      <c r="N351" s="336"/>
      <c r="O351" s="336"/>
      <c r="P351" s="336"/>
      <c r="Q351" s="337"/>
      <c r="R351" s="336"/>
      <c r="S351" s="336"/>
      <c r="T351" s="336"/>
      <c r="U351" s="336"/>
      <c r="V351" s="336"/>
      <c r="W351" s="336"/>
      <c r="X351" s="336"/>
      <c r="Y351" s="336"/>
      <c r="Z351" s="336"/>
    </row>
    <row r="352" spans="1:26" s="307" customFormat="1" ht="31.5">
      <c r="A352" s="163" t="s">
        <v>190</v>
      </c>
      <c r="B352" s="66"/>
      <c r="C352" s="48" t="s">
        <v>129</v>
      </c>
      <c r="D352" s="48" t="s">
        <v>171</v>
      </c>
      <c r="E352" s="49" t="s">
        <v>32</v>
      </c>
      <c r="F352" s="56" t="s">
        <v>178</v>
      </c>
      <c r="G352" s="62">
        <f>G353</f>
        <v>2853.4</v>
      </c>
      <c r="H352" s="336"/>
      <c r="I352" s="336"/>
      <c r="J352" s="336"/>
      <c r="K352" s="336"/>
      <c r="L352" s="336"/>
      <c r="M352" s="336"/>
      <c r="N352" s="336"/>
      <c r="O352" s="336"/>
      <c r="P352" s="336"/>
      <c r="Q352" s="337"/>
      <c r="R352" s="336"/>
      <c r="S352" s="336"/>
      <c r="T352" s="336"/>
      <c r="U352" s="336"/>
      <c r="V352" s="336"/>
      <c r="W352" s="336"/>
      <c r="X352" s="336"/>
      <c r="Y352" s="336"/>
      <c r="Z352" s="336"/>
    </row>
    <row r="353" spans="1:26" s="307" customFormat="1" ht="15.75">
      <c r="A353" s="253" t="s">
        <v>191</v>
      </c>
      <c r="B353" s="66"/>
      <c r="C353" s="48" t="s">
        <v>129</v>
      </c>
      <c r="D353" s="48" t="s">
        <v>171</v>
      </c>
      <c r="E353" s="49" t="s">
        <v>32</v>
      </c>
      <c r="F353" s="56" t="s">
        <v>192</v>
      </c>
      <c r="G353" s="62">
        <v>2853.4</v>
      </c>
      <c r="H353" s="336"/>
      <c r="I353" s="336"/>
      <c r="J353" s="336"/>
      <c r="K353" s="336"/>
      <c r="L353" s="336"/>
      <c r="M353" s="336"/>
      <c r="N353" s="336"/>
      <c r="O353" s="336"/>
      <c r="P353" s="336"/>
      <c r="Q353" s="337"/>
      <c r="R353" s="336"/>
      <c r="S353" s="336"/>
      <c r="T353" s="336"/>
      <c r="U353" s="336"/>
      <c r="V353" s="336"/>
      <c r="W353" s="336"/>
      <c r="X353" s="336"/>
      <c r="Y353" s="336"/>
      <c r="Z353" s="336"/>
    </row>
    <row r="354" spans="1:17" ht="15.75">
      <c r="A354" s="235" t="s">
        <v>335</v>
      </c>
      <c r="B354" s="66"/>
      <c r="C354" s="48" t="s">
        <v>129</v>
      </c>
      <c r="D354" s="48" t="s">
        <v>171</v>
      </c>
      <c r="E354" s="49" t="s">
        <v>421</v>
      </c>
      <c r="F354" s="56"/>
      <c r="G354" s="62">
        <f>G355</f>
        <v>750</v>
      </c>
      <c r="Q354" s="34"/>
    </row>
    <row r="355" spans="1:17" ht="31.5">
      <c r="A355" s="163" t="s">
        <v>190</v>
      </c>
      <c r="B355" s="66"/>
      <c r="C355" s="48" t="s">
        <v>129</v>
      </c>
      <c r="D355" s="48" t="s">
        <v>171</v>
      </c>
      <c r="E355" s="49" t="s">
        <v>421</v>
      </c>
      <c r="F355" s="56" t="s">
        <v>178</v>
      </c>
      <c r="G355" s="62">
        <f>G356</f>
        <v>750</v>
      </c>
      <c r="Q355" s="34"/>
    </row>
    <row r="356" spans="1:17" ht="15.75">
      <c r="A356" s="235" t="s">
        <v>191</v>
      </c>
      <c r="B356" s="66"/>
      <c r="C356" s="48" t="s">
        <v>129</v>
      </c>
      <c r="D356" s="48" t="s">
        <v>171</v>
      </c>
      <c r="E356" s="49" t="s">
        <v>421</v>
      </c>
      <c r="F356" s="56" t="s">
        <v>192</v>
      </c>
      <c r="G356" s="62">
        <f>50+700</f>
        <v>750</v>
      </c>
      <c r="Q356" s="34"/>
    </row>
    <row r="357" spans="1:26" s="307" customFormat="1" ht="31.5">
      <c r="A357" s="235" t="s">
        <v>604</v>
      </c>
      <c r="B357" s="66"/>
      <c r="C357" s="48" t="s">
        <v>129</v>
      </c>
      <c r="D357" s="48" t="s">
        <v>171</v>
      </c>
      <c r="E357" s="56" t="s">
        <v>603</v>
      </c>
      <c r="F357" s="56"/>
      <c r="G357" s="62">
        <f>G358</f>
        <v>950</v>
      </c>
      <c r="H357" s="336"/>
      <c r="I357" s="336"/>
      <c r="J357" s="336"/>
      <c r="K357" s="336"/>
      <c r="L357" s="336"/>
      <c r="M357" s="336"/>
      <c r="N357" s="336"/>
      <c r="O357" s="336"/>
      <c r="P357" s="336"/>
      <c r="Q357" s="337"/>
      <c r="R357" s="336"/>
      <c r="S357" s="336"/>
      <c r="T357" s="336"/>
      <c r="U357" s="336"/>
      <c r="V357" s="336"/>
      <c r="W357" s="336"/>
      <c r="X357" s="336"/>
      <c r="Y357" s="336"/>
      <c r="Z357" s="336"/>
    </row>
    <row r="358" spans="1:26" s="307" customFormat="1" ht="31.5">
      <c r="A358" s="163" t="s">
        <v>190</v>
      </c>
      <c r="B358" s="66"/>
      <c r="C358" s="48" t="s">
        <v>129</v>
      </c>
      <c r="D358" s="48" t="s">
        <v>171</v>
      </c>
      <c r="E358" s="56" t="s">
        <v>603</v>
      </c>
      <c r="F358" s="56" t="s">
        <v>178</v>
      </c>
      <c r="G358" s="62">
        <f>G359</f>
        <v>950</v>
      </c>
      <c r="H358" s="336"/>
      <c r="I358" s="336"/>
      <c r="J358" s="336"/>
      <c r="K358" s="336"/>
      <c r="L358" s="336"/>
      <c r="M358" s="336"/>
      <c r="N358" s="336"/>
      <c r="O358" s="336"/>
      <c r="P358" s="336"/>
      <c r="Q358" s="337"/>
      <c r="R358" s="336"/>
      <c r="S358" s="336"/>
      <c r="T358" s="336"/>
      <c r="U358" s="336"/>
      <c r="V358" s="336"/>
      <c r="W358" s="336"/>
      <c r="X358" s="336"/>
      <c r="Y358" s="336"/>
      <c r="Z358" s="336"/>
    </row>
    <row r="359" spans="1:26" s="307" customFormat="1" ht="15.75">
      <c r="A359" s="235" t="s">
        <v>191</v>
      </c>
      <c r="B359" s="66"/>
      <c r="C359" s="48" t="s">
        <v>129</v>
      </c>
      <c r="D359" s="48" t="s">
        <v>171</v>
      </c>
      <c r="E359" s="56" t="s">
        <v>603</v>
      </c>
      <c r="F359" s="56" t="s">
        <v>192</v>
      </c>
      <c r="G359" s="62">
        <v>950</v>
      </c>
      <c r="H359" s="336"/>
      <c r="I359" s="336"/>
      <c r="J359" s="336"/>
      <c r="K359" s="336"/>
      <c r="L359" s="336"/>
      <c r="M359" s="336"/>
      <c r="N359" s="336"/>
      <c r="O359" s="336"/>
      <c r="P359" s="336"/>
      <c r="Q359" s="337"/>
      <c r="R359" s="336"/>
      <c r="S359" s="336"/>
      <c r="T359" s="336"/>
      <c r="U359" s="336"/>
      <c r="V359" s="336"/>
      <c r="W359" s="336"/>
      <c r="X359" s="336"/>
      <c r="Y359" s="336"/>
      <c r="Z359" s="336"/>
    </row>
    <row r="360" spans="1:26" s="307" customFormat="1" ht="31.5">
      <c r="A360" s="257" t="s">
        <v>389</v>
      </c>
      <c r="B360" s="66"/>
      <c r="C360" s="48" t="s">
        <v>129</v>
      </c>
      <c r="D360" s="48" t="s">
        <v>171</v>
      </c>
      <c r="E360" s="56" t="s">
        <v>390</v>
      </c>
      <c r="F360" s="56"/>
      <c r="G360" s="62">
        <f>G361</f>
        <v>22331</v>
      </c>
      <c r="H360" s="336"/>
      <c r="I360" s="336"/>
      <c r="J360" s="336"/>
      <c r="K360" s="336"/>
      <c r="L360" s="336"/>
      <c r="M360" s="336"/>
      <c r="N360" s="336"/>
      <c r="O360" s="336"/>
      <c r="P360" s="336"/>
      <c r="Q360" s="337"/>
      <c r="R360" s="336"/>
      <c r="S360" s="336"/>
      <c r="T360" s="336"/>
      <c r="U360" s="336"/>
      <c r="V360" s="336"/>
      <c r="W360" s="336"/>
      <c r="X360" s="336"/>
      <c r="Y360" s="336"/>
      <c r="Z360" s="336"/>
    </row>
    <row r="361" spans="1:26" s="307" customFormat="1" ht="31.5">
      <c r="A361" s="163" t="s">
        <v>190</v>
      </c>
      <c r="B361" s="66"/>
      <c r="C361" s="48" t="s">
        <v>129</v>
      </c>
      <c r="D361" s="48" t="s">
        <v>171</v>
      </c>
      <c r="E361" s="56" t="s">
        <v>390</v>
      </c>
      <c r="F361" s="56" t="s">
        <v>178</v>
      </c>
      <c r="G361" s="62">
        <f>G362</f>
        <v>22331</v>
      </c>
      <c r="H361" s="336"/>
      <c r="I361" s="336"/>
      <c r="J361" s="336"/>
      <c r="K361" s="336"/>
      <c r="L361" s="336"/>
      <c r="M361" s="336"/>
      <c r="N361" s="336"/>
      <c r="O361" s="336"/>
      <c r="P361" s="336"/>
      <c r="Q361" s="337"/>
      <c r="R361" s="336"/>
      <c r="S361" s="336"/>
      <c r="T361" s="336"/>
      <c r="U361" s="336"/>
      <c r="V361" s="336"/>
      <c r="W361" s="336"/>
      <c r="X361" s="336"/>
      <c r="Y361" s="336"/>
      <c r="Z361" s="336"/>
    </row>
    <row r="362" spans="1:26" s="307" customFormat="1" ht="15.75">
      <c r="A362" s="253" t="s">
        <v>191</v>
      </c>
      <c r="B362" s="66"/>
      <c r="C362" s="48" t="s">
        <v>129</v>
      </c>
      <c r="D362" s="48" t="s">
        <v>171</v>
      </c>
      <c r="E362" s="56" t="s">
        <v>390</v>
      </c>
      <c r="F362" s="56" t="s">
        <v>192</v>
      </c>
      <c r="G362" s="62">
        <v>22331</v>
      </c>
      <c r="H362" s="336"/>
      <c r="I362" s="336"/>
      <c r="J362" s="336"/>
      <c r="K362" s="336"/>
      <c r="L362" s="336"/>
      <c r="M362" s="336"/>
      <c r="N362" s="336"/>
      <c r="O362" s="336"/>
      <c r="P362" s="336"/>
      <c r="Q362" s="337"/>
      <c r="R362" s="336"/>
      <c r="S362" s="336"/>
      <c r="T362" s="336"/>
      <c r="U362" s="336"/>
      <c r="V362" s="336"/>
      <c r="W362" s="336"/>
      <c r="X362" s="336"/>
      <c r="Y362" s="336"/>
      <c r="Z362" s="336"/>
    </row>
    <row r="363" spans="1:26" s="307" customFormat="1" ht="15.75">
      <c r="A363" s="263" t="s">
        <v>624</v>
      </c>
      <c r="B363" s="66"/>
      <c r="C363" s="48" t="s">
        <v>129</v>
      </c>
      <c r="D363" s="48" t="s">
        <v>171</v>
      </c>
      <c r="E363" s="56" t="s">
        <v>623</v>
      </c>
      <c r="F363" s="56"/>
      <c r="G363" s="70">
        <f>G364</f>
        <v>500</v>
      </c>
      <c r="H363" s="336"/>
      <c r="I363" s="336"/>
      <c r="J363" s="336"/>
      <c r="K363" s="336"/>
      <c r="L363" s="336"/>
      <c r="M363" s="336"/>
      <c r="N363" s="336"/>
      <c r="O363" s="336"/>
      <c r="P363" s="336"/>
      <c r="Q363" s="337"/>
      <c r="R363" s="336"/>
      <c r="S363" s="336"/>
      <c r="T363" s="336"/>
      <c r="U363" s="336"/>
      <c r="V363" s="336"/>
      <c r="W363" s="336"/>
      <c r="X363" s="336"/>
      <c r="Y363" s="336"/>
      <c r="Z363" s="336"/>
    </row>
    <row r="364" spans="1:26" s="307" customFormat="1" ht="31.5">
      <c r="A364" s="163" t="s">
        <v>190</v>
      </c>
      <c r="B364" s="66"/>
      <c r="C364" s="48" t="s">
        <v>129</v>
      </c>
      <c r="D364" s="48" t="s">
        <v>171</v>
      </c>
      <c r="E364" s="56" t="s">
        <v>623</v>
      </c>
      <c r="F364" s="56" t="s">
        <v>178</v>
      </c>
      <c r="G364" s="70">
        <f>G365</f>
        <v>500</v>
      </c>
      <c r="H364" s="336"/>
      <c r="I364" s="336"/>
      <c r="J364" s="336"/>
      <c r="K364" s="336"/>
      <c r="L364" s="336"/>
      <c r="M364" s="336"/>
      <c r="N364" s="336"/>
      <c r="O364" s="336"/>
      <c r="P364" s="336"/>
      <c r="Q364" s="337"/>
      <c r="R364" s="336"/>
      <c r="S364" s="336"/>
      <c r="T364" s="336"/>
      <c r="U364" s="336"/>
      <c r="V364" s="336"/>
      <c r="W364" s="336"/>
      <c r="X364" s="336"/>
      <c r="Y364" s="336"/>
      <c r="Z364" s="336"/>
    </row>
    <row r="365" spans="1:7" ht="15.75">
      <c r="A365" s="235" t="s">
        <v>191</v>
      </c>
      <c r="B365" s="66"/>
      <c r="C365" s="48" t="s">
        <v>129</v>
      </c>
      <c r="D365" s="48" t="s">
        <v>171</v>
      </c>
      <c r="E365" s="56" t="s">
        <v>623</v>
      </c>
      <c r="F365" s="56" t="s">
        <v>192</v>
      </c>
      <c r="G365" s="70">
        <v>500</v>
      </c>
    </row>
    <row r="366" spans="1:7" ht="63">
      <c r="A366" s="263" t="s">
        <v>249</v>
      </c>
      <c r="B366" s="66"/>
      <c r="C366" s="48" t="s">
        <v>129</v>
      </c>
      <c r="D366" s="48" t="s">
        <v>171</v>
      </c>
      <c r="E366" s="49" t="s">
        <v>245</v>
      </c>
      <c r="F366" s="56"/>
      <c r="G366" s="70">
        <f>G367</f>
        <v>3891</v>
      </c>
    </row>
    <row r="367" spans="1:7" ht="31.5">
      <c r="A367" s="163" t="s">
        <v>190</v>
      </c>
      <c r="B367" s="66"/>
      <c r="C367" s="48" t="s">
        <v>129</v>
      </c>
      <c r="D367" s="48" t="s">
        <v>171</v>
      </c>
      <c r="E367" s="49" t="s">
        <v>245</v>
      </c>
      <c r="F367" s="56" t="s">
        <v>178</v>
      </c>
      <c r="G367" s="70">
        <f>G368</f>
        <v>3891</v>
      </c>
    </row>
    <row r="368" spans="1:7" ht="15.75">
      <c r="A368" s="253" t="s">
        <v>191</v>
      </c>
      <c r="B368" s="66"/>
      <c r="C368" s="48" t="s">
        <v>129</v>
      </c>
      <c r="D368" s="48" t="s">
        <v>171</v>
      </c>
      <c r="E368" s="49" t="s">
        <v>245</v>
      </c>
      <c r="F368" s="56" t="s">
        <v>192</v>
      </c>
      <c r="G368" s="70">
        <v>3891</v>
      </c>
    </row>
    <row r="369" spans="1:7" ht="15.75">
      <c r="A369" s="257" t="s">
        <v>272</v>
      </c>
      <c r="B369" s="47"/>
      <c r="C369" s="48" t="s">
        <v>129</v>
      </c>
      <c r="D369" s="48" t="s">
        <v>171</v>
      </c>
      <c r="E369" s="49" t="s">
        <v>37</v>
      </c>
      <c r="F369" s="56"/>
      <c r="G369" s="70">
        <f>G370</f>
        <v>252942.45</v>
      </c>
    </row>
    <row r="370" spans="1:7" ht="31.5">
      <c r="A370" s="163" t="s">
        <v>190</v>
      </c>
      <c r="B370" s="48"/>
      <c r="C370" s="48" t="s">
        <v>129</v>
      </c>
      <c r="D370" s="48" t="s">
        <v>171</v>
      </c>
      <c r="E370" s="49" t="s">
        <v>37</v>
      </c>
      <c r="F370" s="56" t="s">
        <v>178</v>
      </c>
      <c r="G370" s="70">
        <f>G371</f>
        <v>252942.45</v>
      </c>
    </row>
    <row r="371" spans="1:7" ht="15.75">
      <c r="A371" s="253" t="s">
        <v>191</v>
      </c>
      <c r="B371" s="48"/>
      <c r="C371" s="48" t="s">
        <v>129</v>
      </c>
      <c r="D371" s="48" t="s">
        <v>171</v>
      </c>
      <c r="E371" s="49" t="s">
        <v>37</v>
      </c>
      <c r="F371" s="56" t="s">
        <v>192</v>
      </c>
      <c r="G371" s="62">
        <v>252942.45</v>
      </c>
    </row>
    <row r="372" spans="1:7" ht="78.75">
      <c r="A372" s="265" t="s">
        <v>552</v>
      </c>
      <c r="B372" s="48"/>
      <c r="C372" s="48" t="s">
        <v>129</v>
      </c>
      <c r="D372" s="48" t="s">
        <v>171</v>
      </c>
      <c r="E372" s="56" t="s">
        <v>414</v>
      </c>
      <c r="F372" s="56"/>
      <c r="G372" s="62">
        <f>G373</f>
        <v>50</v>
      </c>
    </row>
    <row r="373" spans="1:26" s="307" customFormat="1" ht="31.5">
      <c r="A373" s="235" t="s">
        <v>263</v>
      </c>
      <c r="B373" s="48"/>
      <c r="C373" s="48" t="s">
        <v>129</v>
      </c>
      <c r="D373" s="48" t="s">
        <v>171</v>
      </c>
      <c r="E373" s="56" t="s">
        <v>414</v>
      </c>
      <c r="F373" s="56" t="s">
        <v>178</v>
      </c>
      <c r="G373" s="62">
        <f>G374</f>
        <v>50</v>
      </c>
      <c r="H373" s="336"/>
      <c r="I373" s="336"/>
      <c r="J373" s="336"/>
      <c r="K373" s="336"/>
      <c r="L373" s="336"/>
      <c r="M373" s="336"/>
      <c r="N373" s="336"/>
      <c r="O373" s="336"/>
      <c r="P373" s="336"/>
      <c r="Q373" s="337"/>
      <c r="R373" s="336"/>
      <c r="S373" s="336"/>
      <c r="T373" s="336"/>
      <c r="U373" s="336"/>
      <c r="V373" s="336"/>
      <c r="W373" s="336"/>
      <c r="X373" s="336"/>
      <c r="Y373" s="336"/>
      <c r="Z373" s="336"/>
    </row>
    <row r="374" spans="1:26" s="307" customFormat="1" ht="15.75">
      <c r="A374" s="235" t="s">
        <v>191</v>
      </c>
      <c r="B374" s="48"/>
      <c r="C374" s="48" t="s">
        <v>129</v>
      </c>
      <c r="D374" s="48" t="s">
        <v>171</v>
      </c>
      <c r="E374" s="56" t="s">
        <v>414</v>
      </c>
      <c r="F374" s="56" t="s">
        <v>192</v>
      </c>
      <c r="G374" s="62">
        <v>50</v>
      </c>
      <c r="H374" s="336"/>
      <c r="I374" s="336"/>
      <c r="J374" s="336"/>
      <c r="K374" s="336"/>
      <c r="L374" s="336"/>
      <c r="M374" s="336"/>
      <c r="N374" s="336"/>
      <c r="O374" s="336"/>
      <c r="P374" s="336"/>
      <c r="Q374" s="337"/>
      <c r="R374" s="336"/>
      <c r="S374" s="336"/>
      <c r="T374" s="336"/>
      <c r="U374" s="336"/>
      <c r="V374" s="336"/>
      <c r="W374" s="336"/>
      <c r="X374" s="336"/>
      <c r="Y374" s="336"/>
      <c r="Z374" s="336"/>
    </row>
    <row r="375" spans="1:26" s="307" customFormat="1" ht="47.25">
      <c r="A375" s="235" t="s">
        <v>466</v>
      </c>
      <c r="B375" s="66"/>
      <c r="C375" s="48" t="s">
        <v>129</v>
      </c>
      <c r="D375" s="48" t="s">
        <v>171</v>
      </c>
      <c r="E375" s="49" t="s">
        <v>356</v>
      </c>
      <c r="F375" s="56"/>
      <c r="G375" s="62">
        <f>G376</f>
        <v>1779.9</v>
      </c>
      <c r="H375" s="336"/>
      <c r="I375" s="336"/>
      <c r="J375" s="336"/>
      <c r="K375" s="336"/>
      <c r="L375" s="336"/>
      <c r="M375" s="336"/>
      <c r="N375" s="336"/>
      <c r="O375" s="336"/>
      <c r="P375" s="336"/>
      <c r="Q375" s="337"/>
      <c r="R375" s="336"/>
      <c r="S375" s="336"/>
      <c r="T375" s="336"/>
      <c r="U375" s="336"/>
      <c r="V375" s="336"/>
      <c r="W375" s="336"/>
      <c r="X375" s="336"/>
      <c r="Y375" s="336"/>
      <c r="Z375" s="336"/>
    </row>
    <row r="376" spans="1:26" s="307" customFormat="1" ht="31.5">
      <c r="A376" s="163" t="s">
        <v>190</v>
      </c>
      <c r="B376" s="66"/>
      <c r="C376" s="48" t="s">
        <v>129</v>
      </c>
      <c r="D376" s="48" t="s">
        <v>171</v>
      </c>
      <c r="E376" s="49" t="s">
        <v>356</v>
      </c>
      <c r="F376" s="56" t="s">
        <v>178</v>
      </c>
      <c r="G376" s="62">
        <f>G377</f>
        <v>1779.9</v>
      </c>
      <c r="H376" s="336"/>
      <c r="I376" s="336"/>
      <c r="J376" s="336"/>
      <c r="K376" s="336"/>
      <c r="L376" s="336"/>
      <c r="M376" s="336"/>
      <c r="N376" s="336"/>
      <c r="O376" s="336"/>
      <c r="P376" s="336"/>
      <c r="Q376" s="337"/>
      <c r="R376" s="336"/>
      <c r="S376" s="336"/>
      <c r="T376" s="336"/>
      <c r="U376" s="336"/>
      <c r="V376" s="336"/>
      <c r="W376" s="336"/>
      <c r="X376" s="336"/>
      <c r="Y376" s="336"/>
      <c r="Z376" s="336"/>
    </row>
    <row r="377" spans="1:26" s="307" customFormat="1" ht="15.75">
      <c r="A377" s="253" t="s">
        <v>191</v>
      </c>
      <c r="B377" s="66"/>
      <c r="C377" s="48" t="s">
        <v>129</v>
      </c>
      <c r="D377" s="48" t="s">
        <v>171</v>
      </c>
      <c r="E377" s="49" t="s">
        <v>356</v>
      </c>
      <c r="F377" s="56" t="s">
        <v>192</v>
      </c>
      <c r="G377" s="62">
        <v>1779.9</v>
      </c>
      <c r="H377" s="336"/>
      <c r="I377" s="336"/>
      <c r="J377" s="336"/>
      <c r="K377" s="336"/>
      <c r="L377" s="336"/>
      <c r="M377" s="336"/>
      <c r="N377" s="336"/>
      <c r="O377" s="336"/>
      <c r="P377" s="336"/>
      <c r="Q377" s="337"/>
      <c r="R377" s="336"/>
      <c r="S377" s="336"/>
      <c r="T377" s="336"/>
      <c r="U377" s="336"/>
      <c r="V377" s="336"/>
      <c r="W377" s="336"/>
      <c r="X377" s="336"/>
      <c r="Y377" s="336"/>
      <c r="Z377" s="336"/>
    </row>
    <row r="378" spans="1:10" ht="51.75" customHeight="1">
      <c r="A378" s="262" t="s">
        <v>313</v>
      </c>
      <c r="B378" s="86"/>
      <c r="C378" s="80" t="s">
        <v>129</v>
      </c>
      <c r="D378" s="80" t="s">
        <v>171</v>
      </c>
      <c r="E378" s="81" t="s">
        <v>314</v>
      </c>
      <c r="F378" s="76"/>
      <c r="G378" s="62">
        <f aca="true" t="shared" si="4" ref="G378:I379">G379</f>
        <v>55</v>
      </c>
      <c r="H378" s="340">
        <f t="shared" si="4"/>
        <v>0</v>
      </c>
      <c r="I378" s="340">
        <f t="shared" si="4"/>
        <v>50</v>
      </c>
      <c r="J378" s="341"/>
    </row>
    <row r="379" spans="1:10" ht="15" customHeight="1">
      <c r="A379" s="260" t="s">
        <v>190</v>
      </c>
      <c r="B379" s="86"/>
      <c r="C379" s="80" t="s">
        <v>129</v>
      </c>
      <c r="D379" s="80" t="s">
        <v>171</v>
      </c>
      <c r="E379" s="81" t="s">
        <v>314</v>
      </c>
      <c r="F379" s="76" t="s">
        <v>178</v>
      </c>
      <c r="G379" s="62">
        <f t="shared" si="4"/>
        <v>55</v>
      </c>
      <c r="H379" s="340">
        <f t="shared" si="4"/>
        <v>0</v>
      </c>
      <c r="I379" s="340">
        <f t="shared" si="4"/>
        <v>50</v>
      </c>
      <c r="J379" s="341"/>
    </row>
    <row r="380" spans="1:10" ht="18.75" customHeight="1">
      <c r="A380" s="261" t="s">
        <v>191</v>
      </c>
      <c r="B380" s="86"/>
      <c r="C380" s="80" t="s">
        <v>129</v>
      </c>
      <c r="D380" s="80" t="s">
        <v>171</v>
      </c>
      <c r="E380" s="81" t="s">
        <v>314</v>
      </c>
      <c r="F380" s="76" t="s">
        <v>192</v>
      </c>
      <c r="G380" s="62">
        <v>55</v>
      </c>
      <c r="H380" s="340">
        <v>0</v>
      </c>
      <c r="I380" s="88">
        <f>G442-H380</f>
        <v>50</v>
      </c>
      <c r="J380" s="342"/>
    </row>
    <row r="381" spans="1:10" ht="30" customHeight="1">
      <c r="A381" s="262" t="s">
        <v>358</v>
      </c>
      <c r="B381" s="86"/>
      <c r="C381" s="80" t="s">
        <v>129</v>
      </c>
      <c r="D381" s="80" t="s">
        <v>171</v>
      </c>
      <c r="E381" s="81" t="s">
        <v>357</v>
      </c>
      <c r="F381" s="76"/>
      <c r="G381" s="62">
        <f>G382</f>
        <v>27.6</v>
      </c>
      <c r="H381" s="343"/>
      <c r="I381" s="341"/>
      <c r="J381" s="342"/>
    </row>
    <row r="382" spans="1:10" ht="18.75" customHeight="1">
      <c r="A382" s="260" t="s">
        <v>190</v>
      </c>
      <c r="B382" s="86"/>
      <c r="C382" s="80" t="s">
        <v>129</v>
      </c>
      <c r="D382" s="80" t="s">
        <v>171</v>
      </c>
      <c r="E382" s="81" t="s">
        <v>357</v>
      </c>
      <c r="F382" s="76" t="s">
        <v>178</v>
      </c>
      <c r="G382" s="62">
        <f>G383</f>
        <v>27.6</v>
      </c>
      <c r="H382" s="343"/>
      <c r="I382" s="341"/>
      <c r="J382" s="342"/>
    </row>
    <row r="383" spans="1:26" s="307" customFormat="1" ht="15.75">
      <c r="A383" s="261" t="s">
        <v>191</v>
      </c>
      <c r="B383" s="86"/>
      <c r="C383" s="80" t="s">
        <v>129</v>
      </c>
      <c r="D383" s="80" t="s">
        <v>171</v>
      </c>
      <c r="E383" s="81" t="s">
        <v>357</v>
      </c>
      <c r="F383" s="76" t="s">
        <v>192</v>
      </c>
      <c r="G383" s="62">
        <v>27.6</v>
      </c>
      <c r="H383" s="336"/>
      <c r="I383" s="336"/>
      <c r="J383" s="336"/>
      <c r="K383" s="336"/>
      <c r="L383" s="336"/>
      <c r="M383" s="336"/>
      <c r="N383" s="336"/>
      <c r="O383" s="336"/>
      <c r="P383" s="336"/>
      <c r="Q383" s="337"/>
      <c r="R383" s="336"/>
      <c r="S383" s="336"/>
      <c r="T383" s="336"/>
      <c r="U383" s="336"/>
      <c r="V383" s="336"/>
      <c r="W383" s="336"/>
      <c r="X383" s="336"/>
      <c r="Y383" s="336"/>
      <c r="Z383" s="336"/>
    </row>
    <row r="384" spans="1:26" s="307" customFormat="1" ht="78.75">
      <c r="A384" s="236" t="s">
        <v>470</v>
      </c>
      <c r="B384" s="82"/>
      <c r="C384" s="80" t="s">
        <v>129</v>
      </c>
      <c r="D384" s="80" t="s">
        <v>171</v>
      </c>
      <c r="E384" s="81" t="s">
        <v>422</v>
      </c>
      <c r="F384" s="76"/>
      <c r="G384" s="88">
        <f>G385</f>
        <v>246.666</v>
      </c>
      <c r="H384" s="336"/>
      <c r="I384" s="336"/>
      <c r="J384" s="336"/>
      <c r="K384" s="336"/>
      <c r="L384" s="336"/>
      <c r="M384" s="336"/>
      <c r="N384" s="336"/>
      <c r="O384" s="336"/>
      <c r="P384" s="336"/>
      <c r="Q384" s="337"/>
      <c r="R384" s="336"/>
      <c r="S384" s="336"/>
      <c r="T384" s="336"/>
      <c r="U384" s="336"/>
      <c r="V384" s="336"/>
      <c r="W384" s="336"/>
      <c r="X384" s="336"/>
      <c r="Y384" s="336"/>
      <c r="Z384" s="336"/>
    </row>
    <row r="385" spans="1:26" s="307" customFormat="1" ht="31.5">
      <c r="A385" s="260" t="s">
        <v>190</v>
      </c>
      <c r="B385" s="82"/>
      <c r="C385" s="80" t="s">
        <v>129</v>
      </c>
      <c r="D385" s="80" t="s">
        <v>171</v>
      </c>
      <c r="E385" s="81" t="s">
        <v>422</v>
      </c>
      <c r="F385" s="76" t="s">
        <v>178</v>
      </c>
      <c r="G385" s="88">
        <f>G386</f>
        <v>246.666</v>
      </c>
      <c r="H385" s="336"/>
      <c r="I385" s="336"/>
      <c r="J385" s="336"/>
      <c r="K385" s="336"/>
      <c r="L385" s="336"/>
      <c r="M385" s="336"/>
      <c r="N385" s="336"/>
      <c r="O385" s="336"/>
      <c r="P385" s="336"/>
      <c r="Q385" s="337"/>
      <c r="R385" s="336"/>
      <c r="S385" s="336"/>
      <c r="T385" s="336"/>
      <c r="U385" s="336"/>
      <c r="V385" s="336"/>
      <c r="W385" s="336"/>
      <c r="X385" s="336"/>
      <c r="Y385" s="336"/>
      <c r="Z385" s="336"/>
    </row>
    <row r="386" spans="1:26" s="307" customFormat="1" ht="30.75" customHeight="1">
      <c r="A386" s="261" t="s">
        <v>191</v>
      </c>
      <c r="B386" s="82"/>
      <c r="C386" s="80" t="s">
        <v>129</v>
      </c>
      <c r="D386" s="80" t="s">
        <v>171</v>
      </c>
      <c r="E386" s="81" t="s">
        <v>422</v>
      </c>
      <c r="F386" s="76" t="s">
        <v>192</v>
      </c>
      <c r="G386" s="62">
        <v>246.666</v>
      </c>
      <c r="H386" s="336"/>
      <c r="I386" s="336"/>
      <c r="J386" s="336"/>
      <c r="K386" s="336"/>
      <c r="L386" s="336"/>
      <c r="M386" s="336"/>
      <c r="N386" s="336"/>
      <c r="O386" s="336"/>
      <c r="P386" s="336"/>
      <c r="Q386" s="337"/>
      <c r="R386" s="336"/>
      <c r="S386" s="336"/>
      <c r="T386" s="336"/>
      <c r="U386" s="336"/>
      <c r="V386" s="336"/>
      <c r="W386" s="336"/>
      <c r="X386" s="336"/>
      <c r="Y386" s="336"/>
      <c r="Z386" s="336"/>
    </row>
    <row r="387" spans="1:26" s="307" customFormat="1" ht="15.75" customHeight="1">
      <c r="A387" s="252" t="s">
        <v>336</v>
      </c>
      <c r="B387" s="57"/>
      <c r="C387" s="45" t="s">
        <v>129</v>
      </c>
      <c r="D387" s="45" t="s">
        <v>171</v>
      </c>
      <c r="E387" s="52" t="s">
        <v>38</v>
      </c>
      <c r="F387" s="57"/>
      <c r="G387" s="58">
        <f>G388</f>
        <v>250</v>
      </c>
      <c r="H387" s="336"/>
      <c r="I387" s="336"/>
      <c r="J387" s="336"/>
      <c r="K387" s="336"/>
      <c r="L387" s="336"/>
      <c r="M387" s="336"/>
      <c r="N387" s="336"/>
      <c r="O387" s="336"/>
      <c r="P387" s="336"/>
      <c r="Q387" s="337"/>
      <c r="R387" s="336"/>
      <c r="S387" s="336"/>
      <c r="T387" s="336"/>
      <c r="U387" s="336"/>
      <c r="V387" s="336"/>
      <c r="W387" s="336"/>
      <c r="X387" s="336"/>
      <c r="Y387" s="336"/>
      <c r="Z387" s="336"/>
    </row>
    <row r="388" spans="1:26" s="307" customFormat="1" ht="31.5">
      <c r="A388" s="266" t="s">
        <v>549</v>
      </c>
      <c r="B388" s="57"/>
      <c r="C388" s="45" t="s">
        <v>129</v>
      </c>
      <c r="D388" s="45" t="s">
        <v>171</v>
      </c>
      <c r="E388" s="52" t="s">
        <v>225</v>
      </c>
      <c r="F388" s="57"/>
      <c r="G388" s="58">
        <f>G389</f>
        <v>250</v>
      </c>
      <c r="H388" s="336"/>
      <c r="I388" s="336"/>
      <c r="J388" s="336"/>
      <c r="K388" s="336"/>
      <c r="L388" s="336"/>
      <c r="M388" s="336"/>
      <c r="N388" s="336"/>
      <c r="O388" s="336"/>
      <c r="P388" s="336"/>
      <c r="Q388" s="337"/>
      <c r="R388" s="336"/>
      <c r="S388" s="336"/>
      <c r="T388" s="336"/>
      <c r="U388" s="336"/>
      <c r="V388" s="336"/>
      <c r="W388" s="336"/>
      <c r="X388" s="336"/>
      <c r="Y388" s="336"/>
      <c r="Z388" s="336"/>
    </row>
    <row r="389" spans="1:26" s="307" customFormat="1" ht="15.75">
      <c r="A389" s="267" t="s">
        <v>558</v>
      </c>
      <c r="B389" s="86"/>
      <c r="C389" s="80" t="s">
        <v>129</v>
      </c>
      <c r="D389" s="80" t="s">
        <v>171</v>
      </c>
      <c r="E389" s="81" t="s">
        <v>39</v>
      </c>
      <c r="F389" s="76"/>
      <c r="G389" s="62">
        <f>G390</f>
        <v>250</v>
      </c>
      <c r="H389" s="336"/>
      <c r="I389" s="336"/>
      <c r="J389" s="336"/>
      <c r="K389" s="336"/>
      <c r="L389" s="336"/>
      <c r="M389" s="336"/>
      <c r="N389" s="336"/>
      <c r="O389" s="336"/>
      <c r="P389" s="336"/>
      <c r="Q389" s="337"/>
      <c r="R389" s="336"/>
      <c r="S389" s="336"/>
      <c r="T389" s="336"/>
      <c r="U389" s="336"/>
      <c r="V389" s="336"/>
      <c r="W389" s="336"/>
      <c r="X389" s="336"/>
      <c r="Y389" s="336"/>
      <c r="Z389" s="336"/>
    </row>
    <row r="390" spans="1:18" ht="31.5">
      <c r="A390" s="163" t="s">
        <v>190</v>
      </c>
      <c r="B390" s="47"/>
      <c r="C390" s="48" t="s">
        <v>129</v>
      </c>
      <c r="D390" s="48" t="s">
        <v>171</v>
      </c>
      <c r="E390" s="81" t="s">
        <v>39</v>
      </c>
      <c r="F390" s="56" t="s">
        <v>178</v>
      </c>
      <c r="G390" s="62">
        <f>G391</f>
        <v>250</v>
      </c>
      <c r="R390" s="333" t="e">
        <f>G390+#REF!+G433+G437+G560</f>
        <v>#REF!</v>
      </c>
    </row>
    <row r="391" spans="1:7" ht="15.75">
      <c r="A391" s="253" t="s">
        <v>191</v>
      </c>
      <c r="B391" s="47"/>
      <c r="C391" s="48" t="s">
        <v>129</v>
      </c>
      <c r="D391" s="48" t="s">
        <v>171</v>
      </c>
      <c r="E391" s="81" t="s">
        <v>39</v>
      </c>
      <c r="F391" s="56" t="s">
        <v>192</v>
      </c>
      <c r="G391" s="62">
        <v>250</v>
      </c>
    </row>
    <row r="392" spans="1:7" ht="31.5">
      <c r="A392" s="234" t="s">
        <v>539</v>
      </c>
      <c r="B392" s="51"/>
      <c r="C392" s="45" t="s">
        <v>129</v>
      </c>
      <c r="D392" s="45" t="s">
        <v>171</v>
      </c>
      <c r="E392" s="52" t="s">
        <v>80</v>
      </c>
      <c r="F392" s="57"/>
      <c r="G392" s="58">
        <f>G393</f>
        <v>250</v>
      </c>
    </row>
    <row r="393" spans="1:7" ht="15.75">
      <c r="A393" s="268" t="s">
        <v>540</v>
      </c>
      <c r="B393" s="66"/>
      <c r="C393" s="48" t="s">
        <v>129</v>
      </c>
      <c r="D393" s="48" t="s">
        <v>171</v>
      </c>
      <c r="E393" s="49" t="s">
        <v>81</v>
      </c>
      <c r="F393" s="56"/>
      <c r="G393" s="62">
        <f>G394</f>
        <v>250</v>
      </c>
    </row>
    <row r="394" spans="1:7" ht="31.5">
      <c r="A394" s="163" t="s">
        <v>190</v>
      </c>
      <c r="B394" s="66"/>
      <c r="C394" s="48" t="s">
        <v>129</v>
      </c>
      <c r="D394" s="48" t="s">
        <v>171</v>
      </c>
      <c r="E394" s="49" t="s">
        <v>81</v>
      </c>
      <c r="F394" s="56" t="s">
        <v>178</v>
      </c>
      <c r="G394" s="62">
        <f>G395</f>
        <v>250</v>
      </c>
    </row>
    <row r="395" spans="1:7" ht="15.75">
      <c r="A395" s="253" t="s">
        <v>191</v>
      </c>
      <c r="B395" s="66"/>
      <c r="C395" s="48" t="s">
        <v>129</v>
      </c>
      <c r="D395" s="48" t="s">
        <v>171</v>
      </c>
      <c r="E395" s="49" t="s">
        <v>81</v>
      </c>
      <c r="F395" s="56" t="s">
        <v>192</v>
      </c>
      <c r="G395" s="62">
        <v>250</v>
      </c>
    </row>
    <row r="396" spans="1:26" s="307" customFormat="1" ht="15.75">
      <c r="A396" s="269" t="s">
        <v>240</v>
      </c>
      <c r="B396" s="51"/>
      <c r="C396" s="45" t="s">
        <v>129</v>
      </c>
      <c r="D396" s="45" t="s">
        <v>158</v>
      </c>
      <c r="E396" s="52"/>
      <c r="F396" s="56"/>
      <c r="G396" s="58">
        <f>G397+G442+G446</f>
        <v>65156.05</v>
      </c>
      <c r="H396" s="336"/>
      <c r="I396" s="336"/>
      <c r="J396" s="336"/>
      <c r="K396" s="336"/>
      <c r="L396" s="336"/>
      <c r="M396" s="336"/>
      <c r="N396" s="336"/>
      <c r="O396" s="336"/>
      <c r="P396" s="336"/>
      <c r="Q396" s="337"/>
      <c r="R396" s="336"/>
      <c r="S396" s="336"/>
      <c r="T396" s="336"/>
      <c r="U396" s="336"/>
      <c r="V396" s="336"/>
      <c r="W396" s="336"/>
      <c r="X396" s="336"/>
      <c r="Y396" s="336"/>
      <c r="Z396" s="336"/>
    </row>
    <row r="397" spans="1:26" s="307" customFormat="1" ht="15.75">
      <c r="A397" s="258" t="s">
        <v>546</v>
      </c>
      <c r="B397" s="93"/>
      <c r="C397" s="93" t="s">
        <v>129</v>
      </c>
      <c r="D397" s="93" t="s">
        <v>158</v>
      </c>
      <c r="E397" s="98" t="s">
        <v>11</v>
      </c>
      <c r="F397" s="56"/>
      <c r="G397" s="58">
        <f>G398</f>
        <v>35908.36</v>
      </c>
      <c r="H397" s="336"/>
      <c r="I397" s="336"/>
      <c r="J397" s="336"/>
      <c r="K397" s="336"/>
      <c r="L397" s="336"/>
      <c r="M397" s="336"/>
      <c r="N397" s="336"/>
      <c r="O397" s="336"/>
      <c r="P397" s="336"/>
      <c r="Q397" s="337"/>
      <c r="R397" s="336"/>
      <c r="S397" s="336"/>
      <c r="T397" s="336"/>
      <c r="U397" s="336"/>
      <c r="V397" s="336"/>
      <c r="W397" s="336"/>
      <c r="X397" s="336"/>
      <c r="Y397" s="336"/>
      <c r="Z397" s="336"/>
    </row>
    <row r="398" spans="1:26" s="307" customFormat="1" ht="31.5">
      <c r="A398" s="234" t="s">
        <v>547</v>
      </c>
      <c r="B398" s="77"/>
      <c r="C398" s="45" t="s">
        <v>129</v>
      </c>
      <c r="D398" s="45" t="s">
        <v>158</v>
      </c>
      <c r="E398" s="52" t="s">
        <v>33</v>
      </c>
      <c r="F398" s="57"/>
      <c r="G398" s="58">
        <f>G399+G409+G412+G415+G418+G421+G424+G427+G430+G433+G402+G436+G439</f>
        <v>35908.36</v>
      </c>
      <c r="H398" s="336"/>
      <c r="I398" s="336"/>
      <c r="J398" s="336"/>
      <c r="K398" s="336"/>
      <c r="L398" s="336"/>
      <c r="M398" s="336"/>
      <c r="N398" s="336"/>
      <c r="O398" s="336"/>
      <c r="P398" s="336"/>
      <c r="Q398" s="337"/>
      <c r="R398" s="336"/>
      <c r="S398" s="336"/>
      <c r="T398" s="336"/>
      <c r="U398" s="336"/>
      <c r="V398" s="336"/>
      <c r="W398" s="336"/>
      <c r="X398" s="336"/>
      <c r="Y398" s="336"/>
      <c r="Z398" s="336"/>
    </row>
    <row r="399" spans="1:26" s="307" customFormat="1" ht="15.75">
      <c r="A399" s="268" t="s">
        <v>106</v>
      </c>
      <c r="B399" s="47"/>
      <c r="C399" s="48" t="s">
        <v>129</v>
      </c>
      <c r="D399" s="48" t="s">
        <v>158</v>
      </c>
      <c r="E399" s="49" t="s">
        <v>34</v>
      </c>
      <c r="F399" s="56"/>
      <c r="G399" s="62">
        <f>G400</f>
        <v>17938.1</v>
      </c>
      <c r="H399" s="336"/>
      <c r="I399" s="336"/>
      <c r="J399" s="336"/>
      <c r="K399" s="336"/>
      <c r="L399" s="336"/>
      <c r="M399" s="336"/>
      <c r="N399" s="336"/>
      <c r="O399" s="336"/>
      <c r="P399" s="336"/>
      <c r="Q399" s="337"/>
      <c r="R399" s="336"/>
      <c r="S399" s="336"/>
      <c r="T399" s="336"/>
      <c r="U399" s="336"/>
      <c r="V399" s="336"/>
      <c r="W399" s="336"/>
      <c r="X399" s="336"/>
      <c r="Y399" s="336"/>
      <c r="Z399" s="336"/>
    </row>
    <row r="400" spans="1:26" s="307" customFormat="1" ht="31.5">
      <c r="A400" s="163" t="s">
        <v>190</v>
      </c>
      <c r="B400" s="47"/>
      <c r="C400" s="48" t="s">
        <v>129</v>
      </c>
      <c r="D400" s="48" t="s">
        <v>158</v>
      </c>
      <c r="E400" s="49" t="s">
        <v>34</v>
      </c>
      <c r="F400" s="56" t="s">
        <v>178</v>
      </c>
      <c r="G400" s="62">
        <f>SUM(G401:G401)</f>
        <v>17938.1</v>
      </c>
      <c r="H400" s="336"/>
      <c r="I400" s="336"/>
      <c r="J400" s="336"/>
      <c r="K400" s="336"/>
      <c r="L400" s="336"/>
      <c r="M400" s="336"/>
      <c r="N400" s="336"/>
      <c r="O400" s="336"/>
      <c r="P400" s="336"/>
      <c r="Q400" s="337"/>
      <c r="R400" s="336"/>
      <c r="S400" s="336"/>
      <c r="T400" s="336"/>
      <c r="U400" s="336"/>
      <c r="V400" s="336"/>
      <c r="W400" s="336"/>
      <c r="X400" s="336"/>
      <c r="Y400" s="336"/>
      <c r="Z400" s="336"/>
    </row>
    <row r="401" spans="1:26" s="307" customFormat="1" ht="15.75">
      <c r="A401" s="253" t="s">
        <v>195</v>
      </c>
      <c r="B401" s="51"/>
      <c r="C401" s="48" t="s">
        <v>129</v>
      </c>
      <c r="D401" s="48" t="s">
        <v>158</v>
      </c>
      <c r="E401" s="49" t="s">
        <v>34</v>
      </c>
      <c r="F401" s="56" t="s">
        <v>196</v>
      </c>
      <c r="G401" s="62">
        <v>17938.1</v>
      </c>
      <c r="H401" s="336"/>
      <c r="I401" s="336"/>
      <c r="J401" s="336"/>
      <c r="K401" s="336"/>
      <c r="L401" s="336"/>
      <c r="M401" s="336"/>
      <c r="N401" s="336"/>
      <c r="O401" s="336"/>
      <c r="P401" s="336"/>
      <c r="Q401" s="337"/>
      <c r="R401" s="336"/>
      <c r="S401" s="336"/>
      <c r="T401" s="336"/>
      <c r="U401" s="336"/>
      <c r="V401" s="336"/>
      <c r="W401" s="336"/>
      <c r="X401" s="336"/>
      <c r="Y401" s="336"/>
      <c r="Z401" s="336"/>
    </row>
    <row r="402" spans="1:26" s="307" customFormat="1" ht="15.75">
      <c r="A402" s="244" t="s">
        <v>381</v>
      </c>
      <c r="B402" s="66"/>
      <c r="C402" s="48" t="s">
        <v>129</v>
      </c>
      <c r="D402" s="48" t="s">
        <v>158</v>
      </c>
      <c r="E402" s="49" t="s">
        <v>379</v>
      </c>
      <c r="F402" s="56"/>
      <c r="G402" s="70">
        <f>G403+G407</f>
        <v>13277.390000000001</v>
      </c>
      <c r="H402" s="336"/>
      <c r="I402" s="336"/>
      <c r="J402" s="336"/>
      <c r="K402" s="336"/>
      <c r="L402" s="336"/>
      <c r="M402" s="336"/>
      <c r="N402" s="336"/>
      <c r="O402" s="336"/>
      <c r="P402" s="336"/>
      <c r="Q402" s="337"/>
      <c r="R402" s="336"/>
      <c r="S402" s="336"/>
      <c r="T402" s="336"/>
      <c r="U402" s="336"/>
      <c r="V402" s="336"/>
      <c r="W402" s="336"/>
      <c r="X402" s="336"/>
      <c r="Y402" s="336"/>
      <c r="Z402" s="336"/>
    </row>
    <row r="403" spans="1:26" s="307" customFormat="1" ht="31.5">
      <c r="A403" s="163" t="s">
        <v>190</v>
      </c>
      <c r="B403" s="66"/>
      <c r="C403" s="48" t="s">
        <v>129</v>
      </c>
      <c r="D403" s="48" t="s">
        <v>158</v>
      </c>
      <c r="E403" s="49" t="s">
        <v>379</v>
      </c>
      <c r="F403" s="56" t="s">
        <v>178</v>
      </c>
      <c r="G403" s="70">
        <f>G404+G405+G406</f>
        <v>13133.69</v>
      </c>
      <c r="H403" s="336"/>
      <c r="I403" s="336"/>
      <c r="J403" s="336"/>
      <c r="K403" s="336"/>
      <c r="L403" s="336"/>
      <c r="M403" s="336"/>
      <c r="N403" s="336"/>
      <c r="O403" s="336"/>
      <c r="P403" s="336"/>
      <c r="Q403" s="337"/>
      <c r="R403" s="336"/>
      <c r="S403" s="336"/>
      <c r="T403" s="336"/>
      <c r="U403" s="336"/>
      <c r="V403" s="336"/>
      <c r="W403" s="336"/>
      <c r="X403" s="336"/>
      <c r="Y403" s="336"/>
      <c r="Z403" s="336"/>
    </row>
    <row r="404" spans="1:26" s="307" customFormat="1" ht="15.75">
      <c r="A404" s="235" t="s">
        <v>191</v>
      </c>
      <c r="B404" s="66"/>
      <c r="C404" s="48" t="s">
        <v>129</v>
      </c>
      <c r="D404" s="48" t="s">
        <v>158</v>
      </c>
      <c r="E404" s="49" t="s">
        <v>379</v>
      </c>
      <c r="F404" s="56" t="s">
        <v>192</v>
      </c>
      <c r="G404" s="62">
        <v>143.7</v>
      </c>
      <c r="H404" s="336"/>
      <c r="I404" s="336"/>
      <c r="J404" s="336"/>
      <c r="K404" s="336"/>
      <c r="L404" s="336"/>
      <c r="M404" s="336"/>
      <c r="N404" s="336"/>
      <c r="O404" s="336"/>
      <c r="P404" s="336"/>
      <c r="Q404" s="337"/>
      <c r="R404" s="336"/>
      <c r="S404" s="336"/>
      <c r="T404" s="336"/>
      <c r="U404" s="336"/>
      <c r="V404" s="336"/>
      <c r="W404" s="336"/>
      <c r="X404" s="336"/>
      <c r="Y404" s="336"/>
      <c r="Z404" s="336"/>
    </row>
    <row r="405" spans="1:26" s="307" customFormat="1" ht="15.75">
      <c r="A405" s="253" t="s">
        <v>197</v>
      </c>
      <c r="B405" s="66"/>
      <c r="C405" s="48" t="s">
        <v>129</v>
      </c>
      <c r="D405" s="48" t="s">
        <v>158</v>
      </c>
      <c r="E405" s="49" t="s">
        <v>379</v>
      </c>
      <c r="F405" s="56" t="s">
        <v>196</v>
      </c>
      <c r="G405" s="62">
        <v>12846.39</v>
      </c>
      <c r="H405" s="336"/>
      <c r="I405" s="336"/>
      <c r="J405" s="336"/>
      <c r="K405" s="336"/>
      <c r="L405" s="336"/>
      <c r="M405" s="336"/>
      <c r="N405" s="336"/>
      <c r="O405" s="336"/>
      <c r="P405" s="336"/>
      <c r="Q405" s="337"/>
      <c r="R405" s="336"/>
      <c r="S405" s="336"/>
      <c r="T405" s="336"/>
      <c r="U405" s="336"/>
      <c r="V405" s="336"/>
      <c r="W405" s="336"/>
      <c r="X405" s="336"/>
      <c r="Y405" s="336"/>
      <c r="Z405" s="336"/>
    </row>
    <row r="406" spans="1:7" ht="31.5">
      <c r="A406" s="235" t="s">
        <v>605</v>
      </c>
      <c r="B406" s="66"/>
      <c r="C406" s="48" t="s">
        <v>129</v>
      </c>
      <c r="D406" s="48" t="s">
        <v>158</v>
      </c>
      <c r="E406" s="49" t="s">
        <v>379</v>
      </c>
      <c r="F406" s="56" t="s">
        <v>203</v>
      </c>
      <c r="G406" s="62">
        <v>143.6</v>
      </c>
    </row>
    <row r="407" spans="1:10" ht="24.75" customHeight="1">
      <c r="A407" s="235" t="s">
        <v>90</v>
      </c>
      <c r="B407" s="66"/>
      <c r="C407" s="48" t="s">
        <v>129</v>
      </c>
      <c r="D407" s="48" t="s">
        <v>158</v>
      </c>
      <c r="E407" s="49" t="s">
        <v>379</v>
      </c>
      <c r="F407" s="56" t="s">
        <v>87</v>
      </c>
      <c r="G407" s="62">
        <f>G408</f>
        <v>143.7</v>
      </c>
      <c r="H407" s="340">
        <f>H408</f>
        <v>0</v>
      </c>
      <c r="I407" s="340" t="e">
        <f>I408</f>
        <v>#REF!</v>
      </c>
      <c r="J407" s="341"/>
    </row>
    <row r="408" spans="1:10" ht="15" customHeight="1">
      <c r="A408" s="235" t="s">
        <v>228</v>
      </c>
      <c r="B408" s="66"/>
      <c r="C408" s="48" t="s">
        <v>129</v>
      </c>
      <c r="D408" s="48" t="s">
        <v>158</v>
      </c>
      <c r="E408" s="49" t="s">
        <v>379</v>
      </c>
      <c r="F408" s="56" t="s">
        <v>88</v>
      </c>
      <c r="G408" s="62">
        <v>143.7</v>
      </c>
      <c r="H408" s="340">
        <f>H409</f>
        <v>0</v>
      </c>
      <c r="I408" s="340" t="e">
        <f>I409</f>
        <v>#REF!</v>
      </c>
      <c r="J408" s="341"/>
    </row>
    <row r="409" spans="1:10" ht="18.75" customHeight="1">
      <c r="A409" s="257" t="s">
        <v>627</v>
      </c>
      <c r="B409" s="66"/>
      <c r="C409" s="48" t="s">
        <v>129</v>
      </c>
      <c r="D409" s="48" t="s">
        <v>158</v>
      </c>
      <c r="E409" s="56" t="s">
        <v>606</v>
      </c>
      <c r="F409" s="56"/>
      <c r="G409" s="62">
        <f>G410</f>
        <v>354.77</v>
      </c>
      <c r="H409" s="340">
        <v>0</v>
      </c>
      <c r="I409" s="88" t="e">
        <f>#REF!-H409</f>
        <v>#REF!</v>
      </c>
      <c r="J409" s="342"/>
    </row>
    <row r="410" spans="1:10" ht="18" customHeight="1">
      <c r="A410" s="163" t="s">
        <v>190</v>
      </c>
      <c r="B410" s="66"/>
      <c r="C410" s="48" t="s">
        <v>129</v>
      </c>
      <c r="D410" s="48" t="s">
        <v>158</v>
      </c>
      <c r="E410" s="56" t="s">
        <v>606</v>
      </c>
      <c r="F410" s="56" t="s">
        <v>178</v>
      </c>
      <c r="G410" s="62">
        <f>G411</f>
        <v>354.77</v>
      </c>
      <c r="H410" s="340" t="e">
        <f>H411</f>
        <v>#REF!</v>
      </c>
      <c r="I410" s="340" t="e">
        <f>I411</f>
        <v>#REF!</v>
      </c>
      <c r="J410" s="341"/>
    </row>
    <row r="411" spans="1:10" ht="15" customHeight="1">
      <c r="A411" s="235" t="s">
        <v>195</v>
      </c>
      <c r="B411" s="66"/>
      <c r="C411" s="48" t="s">
        <v>129</v>
      </c>
      <c r="D411" s="48" t="s">
        <v>158</v>
      </c>
      <c r="E411" s="56" t="s">
        <v>606</v>
      </c>
      <c r="F411" s="56" t="s">
        <v>196</v>
      </c>
      <c r="G411" s="62">
        <v>354.77</v>
      </c>
      <c r="H411" s="340" t="e">
        <f>#REF!</f>
        <v>#REF!</v>
      </c>
      <c r="I411" s="340" t="e">
        <f>#REF!</f>
        <v>#REF!</v>
      </c>
      <c r="J411" s="341"/>
    </row>
    <row r="412" spans="1:7" ht="15.75">
      <c r="A412" s="257" t="s">
        <v>216</v>
      </c>
      <c r="B412" s="51"/>
      <c r="C412" s="48" t="s">
        <v>129</v>
      </c>
      <c r="D412" s="48" t="s">
        <v>158</v>
      </c>
      <c r="E412" s="49" t="s">
        <v>218</v>
      </c>
      <c r="F412" s="56"/>
      <c r="G412" s="62">
        <f>G413</f>
        <v>125</v>
      </c>
    </row>
    <row r="413" spans="1:7" ht="31.5">
      <c r="A413" s="163" t="s">
        <v>190</v>
      </c>
      <c r="B413" s="51"/>
      <c r="C413" s="48" t="s">
        <v>129</v>
      </c>
      <c r="D413" s="48" t="s">
        <v>158</v>
      </c>
      <c r="E413" s="49" t="s">
        <v>218</v>
      </c>
      <c r="F413" s="56" t="s">
        <v>178</v>
      </c>
      <c r="G413" s="62">
        <f>G414</f>
        <v>125</v>
      </c>
    </row>
    <row r="414" spans="1:26" s="307" customFormat="1" ht="15.75">
      <c r="A414" s="253" t="s">
        <v>195</v>
      </c>
      <c r="B414" s="51"/>
      <c r="C414" s="48" t="s">
        <v>129</v>
      </c>
      <c r="D414" s="48" t="s">
        <v>158</v>
      </c>
      <c r="E414" s="49" t="s">
        <v>218</v>
      </c>
      <c r="F414" s="56" t="s">
        <v>196</v>
      </c>
      <c r="G414" s="62">
        <v>125</v>
      </c>
      <c r="H414" s="336"/>
      <c r="I414" s="336"/>
      <c r="J414" s="336"/>
      <c r="K414" s="336"/>
      <c r="L414" s="336"/>
      <c r="M414" s="336"/>
      <c r="N414" s="336"/>
      <c r="O414" s="336"/>
      <c r="P414" s="336"/>
      <c r="Q414" s="337"/>
      <c r="R414" s="336"/>
      <c r="S414" s="336"/>
      <c r="T414" s="336"/>
      <c r="U414" s="336"/>
      <c r="V414" s="336"/>
      <c r="W414" s="336"/>
      <c r="X414" s="336"/>
      <c r="Y414" s="336"/>
      <c r="Z414" s="336"/>
    </row>
    <row r="415" spans="1:26" s="307" customFormat="1" ht="15.75">
      <c r="A415" s="235" t="s">
        <v>105</v>
      </c>
      <c r="B415" s="47"/>
      <c r="C415" s="48" t="s">
        <v>129</v>
      </c>
      <c r="D415" s="48" t="s">
        <v>158</v>
      </c>
      <c r="E415" s="49" t="s">
        <v>319</v>
      </c>
      <c r="F415" s="56"/>
      <c r="G415" s="62">
        <f>G416</f>
        <v>20</v>
      </c>
      <c r="H415" s="336"/>
      <c r="I415" s="336"/>
      <c r="J415" s="336"/>
      <c r="K415" s="336"/>
      <c r="L415" s="336"/>
      <c r="M415" s="336"/>
      <c r="N415" s="336"/>
      <c r="O415" s="336"/>
      <c r="P415" s="336"/>
      <c r="Q415" s="337"/>
      <c r="R415" s="336"/>
      <c r="S415" s="336"/>
      <c r="T415" s="336"/>
      <c r="U415" s="336"/>
      <c r="V415" s="336"/>
      <c r="W415" s="336"/>
      <c r="X415" s="336"/>
      <c r="Y415" s="336"/>
      <c r="Z415" s="336"/>
    </row>
    <row r="416" spans="1:26" s="307" customFormat="1" ht="31.5">
      <c r="A416" s="163" t="s">
        <v>190</v>
      </c>
      <c r="B416" s="47"/>
      <c r="C416" s="48" t="s">
        <v>129</v>
      </c>
      <c r="D416" s="48" t="s">
        <v>158</v>
      </c>
      <c r="E416" s="49" t="s">
        <v>319</v>
      </c>
      <c r="F416" s="56" t="s">
        <v>178</v>
      </c>
      <c r="G416" s="62">
        <f>G417</f>
        <v>20</v>
      </c>
      <c r="H416" s="336"/>
      <c r="I416" s="336"/>
      <c r="J416" s="336"/>
      <c r="K416" s="336"/>
      <c r="L416" s="336"/>
      <c r="M416" s="336"/>
      <c r="N416" s="336"/>
      <c r="O416" s="336"/>
      <c r="P416" s="336"/>
      <c r="Q416" s="337"/>
      <c r="R416" s="336"/>
      <c r="S416" s="336"/>
      <c r="T416" s="336"/>
      <c r="U416" s="336"/>
      <c r="V416" s="336"/>
      <c r="W416" s="336"/>
      <c r="X416" s="336"/>
      <c r="Y416" s="336"/>
      <c r="Z416" s="336"/>
    </row>
    <row r="417" spans="1:26" s="307" customFormat="1" ht="15.75">
      <c r="A417" s="253" t="s">
        <v>195</v>
      </c>
      <c r="B417" s="47"/>
      <c r="C417" s="48" t="s">
        <v>129</v>
      </c>
      <c r="D417" s="48" t="s">
        <v>158</v>
      </c>
      <c r="E417" s="49" t="s">
        <v>319</v>
      </c>
      <c r="F417" s="56" t="s">
        <v>196</v>
      </c>
      <c r="G417" s="62">
        <v>20</v>
      </c>
      <c r="H417" s="336"/>
      <c r="I417" s="336"/>
      <c r="J417" s="336"/>
      <c r="K417" s="336"/>
      <c r="L417" s="336"/>
      <c r="M417" s="336"/>
      <c r="N417" s="336"/>
      <c r="O417" s="336"/>
      <c r="P417" s="336"/>
      <c r="Q417" s="337"/>
      <c r="R417" s="336"/>
      <c r="S417" s="336"/>
      <c r="T417" s="336"/>
      <c r="U417" s="336"/>
      <c r="V417" s="336"/>
      <c r="W417" s="336"/>
      <c r="X417" s="336"/>
      <c r="Y417" s="336"/>
      <c r="Z417" s="336"/>
    </row>
    <row r="418" spans="1:26" s="307" customFormat="1" ht="15.75">
      <c r="A418" s="253" t="s">
        <v>98</v>
      </c>
      <c r="B418" s="47"/>
      <c r="C418" s="48" t="s">
        <v>129</v>
      </c>
      <c r="D418" s="48" t="s">
        <v>158</v>
      </c>
      <c r="E418" s="49" t="s">
        <v>714</v>
      </c>
      <c r="F418" s="56"/>
      <c r="G418" s="62">
        <f>G419</f>
        <v>490</v>
      </c>
      <c r="H418" s="336"/>
      <c r="I418" s="336"/>
      <c r="J418" s="336"/>
      <c r="K418" s="336"/>
      <c r="L418" s="336"/>
      <c r="M418" s="336"/>
      <c r="N418" s="336"/>
      <c r="O418" s="336"/>
      <c r="P418" s="336"/>
      <c r="Q418" s="337"/>
      <c r="R418" s="336"/>
      <c r="S418" s="336"/>
      <c r="T418" s="336"/>
      <c r="U418" s="336"/>
      <c r="V418" s="336"/>
      <c r="W418" s="336"/>
      <c r="X418" s="336"/>
      <c r="Y418" s="336"/>
      <c r="Z418" s="336"/>
    </row>
    <row r="419" spans="1:26" s="307" customFormat="1" ht="31.5">
      <c r="A419" s="163" t="s">
        <v>190</v>
      </c>
      <c r="B419" s="47"/>
      <c r="C419" s="48" t="s">
        <v>129</v>
      </c>
      <c r="D419" s="48" t="s">
        <v>158</v>
      </c>
      <c r="E419" s="49" t="s">
        <v>714</v>
      </c>
      <c r="F419" s="56" t="s">
        <v>178</v>
      </c>
      <c r="G419" s="62">
        <f>G420</f>
        <v>490</v>
      </c>
      <c r="H419" s="336"/>
      <c r="I419" s="336"/>
      <c r="J419" s="336"/>
      <c r="K419" s="336"/>
      <c r="L419" s="336"/>
      <c r="M419" s="336"/>
      <c r="N419" s="336"/>
      <c r="O419" s="336"/>
      <c r="P419" s="336"/>
      <c r="Q419" s="337"/>
      <c r="R419" s="336"/>
      <c r="S419" s="336"/>
      <c r="T419" s="336"/>
      <c r="U419" s="336"/>
      <c r="V419" s="336"/>
      <c r="W419" s="336"/>
      <c r="X419" s="336"/>
      <c r="Y419" s="336"/>
      <c r="Z419" s="336"/>
    </row>
    <row r="420" spans="1:26" s="307" customFormat="1" ht="15.75">
      <c r="A420" s="253" t="s">
        <v>195</v>
      </c>
      <c r="B420" s="47"/>
      <c r="C420" s="48" t="s">
        <v>129</v>
      </c>
      <c r="D420" s="48" t="s">
        <v>158</v>
      </c>
      <c r="E420" s="49" t="s">
        <v>714</v>
      </c>
      <c r="F420" s="56" t="s">
        <v>196</v>
      </c>
      <c r="G420" s="62">
        <v>490</v>
      </c>
      <c r="H420" s="336"/>
      <c r="I420" s="336"/>
      <c r="J420" s="336"/>
      <c r="K420" s="336"/>
      <c r="L420" s="336"/>
      <c r="M420" s="336"/>
      <c r="N420" s="336"/>
      <c r="O420" s="336"/>
      <c r="P420" s="336"/>
      <c r="Q420" s="337"/>
      <c r="R420" s="336"/>
      <c r="S420" s="336"/>
      <c r="T420" s="336"/>
      <c r="U420" s="336"/>
      <c r="V420" s="336"/>
      <c r="W420" s="336"/>
      <c r="X420" s="336"/>
      <c r="Y420" s="336"/>
      <c r="Z420" s="336"/>
    </row>
    <row r="421" spans="1:26" s="307" customFormat="1" ht="15.75">
      <c r="A421" s="244" t="s">
        <v>701</v>
      </c>
      <c r="B421" s="51"/>
      <c r="C421" s="48" t="s">
        <v>176</v>
      </c>
      <c r="D421" s="48" t="s">
        <v>158</v>
      </c>
      <c r="E421" s="49" t="s">
        <v>700</v>
      </c>
      <c r="F421" s="56"/>
      <c r="G421" s="62">
        <f>G422</f>
        <v>3000</v>
      </c>
      <c r="H421" s="336"/>
      <c r="I421" s="336"/>
      <c r="J421" s="336"/>
      <c r="K421" s="336"/>
      <c r="L421" s="336"/>
      <c r="M421" s="336"/>
      <c r="N421" s="336"/>
      <c r="O421" s="336"/>
      <c r="P421" s="336"/>
      <c r="Q421" s="337"/>
      <c r="R421" s="336"/>
      <c r="S421" s="336"/>
      <c r="T421" s="336"/>
      <c r="U421" s="336"/>
      <c r="V421" s="336"/>
      <c r="W421" s="336"/>
      <c r="X421" s="336"/>
      <c r="Y421" s="336"/>
      <c r="Z421" s="336"/>
    </row>
    <row r="422" spans="1:26" s="307" customFormat="1" ht="31.5">
      <c r="A422" s="163" t="s">
        <v>190</v>
      </c>
      <c r="B422" s="51"/>
      <c r="C422" s="48" t="s">
        <v>129</v>
      </c>
      <c r="D422" s="48" t="s">
        <v>158</v>
      </c>
      <c r="E422" s="49" t="s">
        <v>700</v>
      </c>
      <c r="F422" s="56" t="s">
        <v>178</v>
      </c>
      <c r="G422" s="62">
        <f>G423</f>
        <v>3000</v>
      </c>
      <c r="H422" s="336"/>
      <c r="I422" s="336"/>
      <c r="J422" s="336"/>
      <c r="K422" s="336"/>
      <c r="L422" s="336"/>
      <c r="M422" s="336"/>
      <c r="N422" s="336"/>
      <c r="O422" s="336"/>
      <c r="P422" s="336"/>
      <c r="Q422" s="337"/>
      <c r="R422" s="336"/>
      <c r="S422" s="336"/>
      <c r="T422" s="336"/>
      <c r="U422" s="336"/>
      <c r="V422" s="336"/>
      <c r="W422" s="336"/>
      <c r="X422" s="336"/>
      <c r="Y422" s="336"/>
      <c r="Z422" s="336"/>
    </row>
    <row r="423" spans="1:26" s="307" customFormat="1" ht="15.75">
      <c r="A423" s="253" t="s">
        <v>197</v>
      </c>
      <c r="B423" s="51"/>
      <c r="C423" s="48" t="s">
        <v>129</v>
      </c>
      <c r="D423" s="48" t="s">
        <v>158</v>
      </c>
      <c r="E423" s="49" t="s">
        <v>700</v>
      </c>
      <c r="F423" s="56" t="s">
        <v>196</v>
      </c>
      <c r="G423" s="62">
        <v>3000</v>
      </c>
      <c r="H423" s="336"/>
      <c r="I423" s="336"/>
      <c r="J423" s="336"/>
      <c r="K423" s="336"/>
      <c r="L423" s="336"/>
      <c r="M423" s="336"/>
      <c r="N423" s="336"/>
      <c r="O423" s="336"/>
      <c r="P423" s="336"/>
      <c r="Q423" s="337"/>
      <c r="R423" s="336"/>
      <c r="S423" s="336"/>
      <c r="T423" s="336"/>
      <c r="U423" s="336"/>
      <c r="V423" s="336"/>
      <c r="W423" s="336"/>
      <c r="X423" s="336"/>
      <c r="Y423" s="336"/>
      <c r="Z423" s="336"/>
    </row>
    <row r="424" spans="1:26" s="307" customFormat="1" ht="15.75">
      <c r="A424" s="244" t="s">
        <v>295</v>
      </c>
      <c r="B424" s="51"/>
      <c r="C424" s="48" t="s">
        <v>176</v>
      </c>
      <c r="D424" s="48" t="s">
        <v>158</v>
      </c>
      <c r="E424" s="49" t="s">
        <v>417</v>
      </c>
      <c r="F424" s="56"/>
      <c r="G424" s="62">
        <f>G425</f>
        <v>0</v>
      </c>
      <c r="H424" s="336"/>
      <c r="I424" s="336"/>
      <c r="J424" s="336"/>
      <c r="K424" s="336"/>
      <c r="L424" s="336"/>
      <c r="M424" s="336"/>
      <c r="N424" s="336"/>
      <c r="O424" s="336"/>
      <c r="P424" s="336"/>
      <c r="Q424" s="337"/>
      <c r="R424" s="336"/>
      <c r="S424" s="336"/>
      <c r="T424" s="336"/>
      <c r="U424" s="336"/>
      <c r="V424" s="336"/>
      <c r="W424" s="336"/>
      <c r="X424" s="336"/>
      <c r="Y424" s="336"/>
      <c r="Z424" s="336"/>
    </row>
    <row r="425" spans="1:26" s="307" customFormat="1" ht="31.5">
      <c r="A425" s="163" t="s">
        <v>190</v>
      </c>
      <c r="B425" s="51"/>
      <c r="C425" s="48" t="s">
        <v>129</v>
      </c>
      <c r="D425" s="48" t="s">
        <v>158</v>
      </c>
      <c r="E425" s="49" t="s">
        <v>417</v>
      </c>
      <c r="F425" s="56" t="s">
        <v>178</v>
      </c>
      <c r="G425" s="62">
        <f>G426</f>
        <v>0</v>
      </c>
      <c r="H425" s="336"/>
      <c r="I425" s="336"/>
      <c r="J425" s="336"/>
      <c r="K425" s="336"/>
      <c r="L425" s="336"/>
      <c r="M425" s="336"/>
      <c r="N425" s="336"/>
      <c r="O425" s="336"/>
      <c r="P425" s="336"/>
      <c r="Q425" s="337"/>
      <c r="R425" s="336"/>
      <c r="S425" s="336"/>
      <c r="T425" s="336"/>
      <c r="U425" s="336"/>
      <c r="V425" s="336"/>
      <c r="W425" s="336"/>
      <c r="X425" s="336"/>
      <c r="Y425" s="336"/>
      <c r="Z425" s="336"/>
    </row>
    <row r="426" spans="1:26" s="307" customFormat="1" ht="15.75">
      <c r="A426" s="253" t="s">
        <v>197</v>
      </c>
      <c r="B426" s="51"/>
      <c r="C426" s="48" t="s">
        <v>129</v>
      </c>
      <c r="D426" s="48" t="s">
        <v>158</v>
      </c>
      <c r="E426" s="49" t="s">
        <v>417</v>
      </c>
      <c r="F426" s="56" t="s">
        <v>196</v>
      </c>
      <c r="G426" s="62"/>
      <c r="H426" s="336"/>
      <c r="I426" s="336"/>
      <c r="J426" s="336"/>
      <c r="K426" s="336"/>
      <c r="L426" s="336"/>
      <c r="M426" s="336"/>
      <c r="N426" s="336"/>
      <c r="O426" s="336"/>
      <c r="P426" s="336"/>
      <c r="Q426" s="337"/>
      <c r="R426" s="336"/>
      <c r="S426" s="336"/>
      <c r="T426" s="336"/>
      <c r="U426" s="336"/>
      <c r="V426" s="336"/>
      <c r="W426" s="336"/>
      <c r="X426" s="336"/>
      <c r="Y426" s="336"/>
      <c r="Z426" s="336"/>
    </row>
    <row r="427" spans="1:26" s="307" customFormat="1" ht="68.25" customHeight="1">
      <c r="A427" s="244" t="s">
        <v>267</v>
      </c>
      <c r="B427" s="51"/>
      <c r="C427" s="48" t="s">
        <v>176</v>
      </c>
      <c r="D427" s="48" t="s">
        <v>158</v>
      </c>
      <c r="E427" s="56" t="s">
        <v>359</v>
      </c>
      <c r="F427" s="56"/>
      <c r="G427" s="62">
        <f>G428</f>
        <v>36</v>
      </c>
      <c r="H427" s="336"/>
      <c r="I427" s="336"/>
      <c r="J427" s="336"/>
      <c r="K427" s="336"/>
      <c r="L427" s="336"/>
      <c r="M427" s="336"/>
      <c r="N427" s="336"/>
      <c r="O427" s="336"/>
      <c r="P427" s="336"/>
      <c r="Q427" s="337"/>
      <c r="R427" s="336"/>
      <c r="S427" s="336"/>
      <c r="T427" s="336"/>
      <c r="U427" s="336"/>
      <c r="V427" s="336"/>
      <c r="W427" s="336"/>
      <c r="X427" s="336"/>
      <c r="Y427" s="336"/>
      <c r="Z427" s="336"/>
    </row>
    <row r="428" spans="1:26" s="307" customFormat="1" ht="19.5" customHeight="1">
      <c r="A428" s="163" t="s">
        <v>190</v>
      </c>
      <c r="B428" s="51"/>
      <c r="C428" s="48" t="s">
        <v>129</v>
      </c>
      <c r="D428" s="48" t="s">
        <v>158</v>
      </c>
      <c r="E428" s="56" t="s">
        <v>359</v>
      </c>
      <c r="F428" s="56" t="s">
        <v>178</v>
      </c>
      <c r="G428" s="62">
        <f>G429</f>
        <v>36</v>
      </c>
      <c r="H428" s="336"/>
      <c r="I428" s="336"/>
      <c r="J428" s="336"/>
      <c r="K428" s="336"/>
      <c r="L428" s="336"/>
      <c r="M428" s="336"/>
      <c r="N428" s="336"/>
      <c r="O428" s="336"/>
      <c r="P428" s="336"/>
      <c r="Q428" s="337"/>
      <c r="R428" s="336"/>
      <c r="S428" s="336"/>
      <c r="T428" s="336"/>
      <c r="U428" s="336"/>
      <c r="V428" s="336"/>
      <c r="W428" s="336"/>
      <c r="X428" s="336"/>
      <c r="Y428" s="336"/>
      <c r="Z428" s="336"/>
    </row>
    <row r="429" spans="1:26" s="307" customFormat="1" ht="15.75">
      <c r="A429" s="235" t="s">
        <v>197</v>
      </c>
      <c r="B429" s="51"/>
      <c r="C429" s="48" t="s">
        <v>129</v>
      </c>
      <c r="D429" s="48" t="s">
        <v>158</v>
      </c>
      <c r="E429" s="56" t="s">
        <v>359</v>
      </c>
      <c r="F429" s="56" t="s">
        <v>196</v>
      </c>
      <c r="G429" s="62">
        <v>36</v>
      </c>
      <c r="H429" s="336"/>
      <c r="I429" s="336"/>
      <c r="J429" s="336"/>
      <c r="K429" s="336"/>
      <c r="L429" s="336"/>
      <c r="M429" s="336"/>
      <c r="N429" s="336"/>
      <c r="O429" s="336"/>
      <c r="P429" s="336"/>
      <c r="Q429" s="337"/>
      <c r="R429" s="336"/>
      <c r="S429" s="336"/>
      <c r="T429" s="336"/>
      <c r="U429" s="336"/>
      <c r="V429" s="336"/>
      <c r="W429" s="336"/>
      <c r="X429" s="336"/>
      <c r="Y429" s="336"/>
      <c r="Z429" s="336"/>
    </row>
    <row r="430" spans="1:26" s="307" customFormat="1" ht="15.75">
      <c r="A430" s="257" t="s">
        <v>268</v>
      </c>
      <c r="B430" s="66"/>
      <c r="C430" s="48" t="s">
        <v>129</v>
      </c>
      <c r="D430" s="48" t="s">
        <v>158</v>
      </c>
      <c r="E430" s="49" t="s">
        <v>35</v>
      </c>
      <c r="F430" s="56"/>
      <c r="G430" s="62">
        <f>G431</f>
        <v>135.6</v>
      </c>
      <c r="H430" s="336"/>
      <c r="I430" s="336"/>
      <c r="J430" s="336"/>
      <c r="K430" s="336"/>
      <c r="L430" s="336"/>
      <c r="M430" s="336"/>
      <c r="N430" s="336"/>
      <c r="O430" s="336"/>
      <c r="P430" s="336"/>
      <c r="Q430" s="337"/>
      <c r="R430" s="336"/>
      <c r="S430" s="336"/>
      <c r="T430" s="336"/>
      <c r="U430" s="336"/>
      <c r="V430" s="336"/>
      <c r="W430" s="336"/>
      <c r="X430" s="336"/>
      <c r="Y430" s="336"/>
      <c r="Z430" s="336"/>
    </row>
    <row r="431" spans="1:26" s="307" customFormat="1" ht="23.25" customHeight="1">
      <c r="A431" s="163" t="s">
        <v>190</v>
      </c>
      <c r="B431" s="66"/>
      <c r="C431" s="48" t="s">
        <v>129</v>
      </c>
      <c r="D431" s="48" t="s">
        <v>158</v>
      </c>
      <c r="E431" s="49" t="s">
        <v>35</v>
      </c>
      <c r="F431" s="56" t="s">
        <v>178</v>
      </c>
      <c r="G431" s="62">
        <f>SUM(G432:G432)</f>
        <v>135.6</v>
      </c>
      <c r="H431" s="336"/>
      <c r="I431" s="336"/>
      <c r="J431" s="336"/>
      <c r="K431" s="336"/>
      <c r="L431" s="336"/>
      <c r="M431" s="336"/>
      <c r="N431" s="336"/>
      <c r="O431" s="336"/>
      <c r="P431" s="336"/>
      <c r="Q431" s="337"/>
      <c r="R431" s="336"/>
      <c r="S431" s="336"/>
      <c r="T431" s="336"/>
      <c r="U431" s="336"/>
      <c r="V431" s="336"/>
      <c r="W431" s="336"/>
      <c r="X431" s="336"/>
      <c r="Y431" s="336"/>
      <c r="Z431" s="336"/>
    </row>
    <row r="432" spans="1:26" s="307" customFormat="1" ht="15.75">
      <c r="A432" s="253" t="s">
        <v>195</v>
      </c>
      <c r="B432" s="66"/>
      <c r="C432" s="48" t="s">
        <v>129</v>
      </c>
      <c r="D432" s="48" t="s">
        <v>158</v>
      </c>
      <c r="E432" s="49" t="s">
        <v>35</v>
      </c>
      <c r="F432" s="56" t="s">
        <v>196</v>
      </c>
      <c r="G432" s="62">
        <v>135.6</v>
      </c>
      <c r="H432" s="336"/>
      <c r="I432" s="336"/>
      <c r="J432" s="336"/>
      <c r="K432" s="336"/>
      <c r="L432" s="336"/>
      <c r="M432" s="336"/>
      <c r="N432" s="336"/>
      <c r="O432" s="336"/>
      <c r="P432" s="336"/>
      <c r="Q432" s="337"/>
      <c r="R432" s="336"/>
      <c r="S432" s="336"/>
      <c r="T432" s="336"/>
      <c r="U432" s="336"/>
      <c r="V432" s="336"/>
      <c r="W432" s="336"/>
      <c r="X432" s="336"/>
      <c r="Y432" s="336"/>
      <c r="Z432" s="336"/>
    </row>
    <row r="433" spans="1:26" s="307" customFormat="1" ht="15.75">
      <c r="A433" s="257" t="s">
        <v>269</v>
      </c>
      <c r="B433" s="47"/>
      <c r="C433" s="48" t="s">
        <v>129</v>
      </c>
      <c r="D433" s="48" t="s">
        <v>158</v>
      </c>
      <c r="E433" s="49" t="s">
        <v>36</v>
      </c>
      <c r="F433" s="56"/>
      <c r="G433" s="62">
        <f>G434</f>
        <v>150</v>
      </c>
      <c r="H433" s="336"/>
      <c r="I433" s="336"/>
      <c r="J433" s="336"/>
      <c r="K433" s="336"/>
      <c r="L433" s="336"/>
      <c r="M433" s="336"/>
      <c r="N433" s="336"/>
      <c r="O433" s="336"/>
      <c r="P433" s="336"/>
      <c r="Q433" s="337"/>
      <c r="R433" s="336"/>
      <c r="S433" s="336"/>
      <c r="T433" s="336"/>
      <c r="U433" s="336"/>
      <c r="V433" s="336"/>
      <c r="W433" s="336"/>
      <c r="X433" s="336"/>
      <c r="Y433" s="336"/>
      <c r="Z433" s="336"/>
    </row>
    <row r="434" spans="1:26" s="307" customFormat="1" ht="31.5">
      <c r="A434" s="163" t="s">
        <v>190</v>
      </c>
      <c r="B434" s="47"/>
      <c r="C434" s="48" t="s">
        <v>129</v>
      </c>
      <c r="D434" s="48" t="s">
        <v>158</v>
      </c>
      <c r="E434" s="49" t="s">
        <v>36</v>
      </c>
      <c r="F434" s="56" t="s">
        <v>178</v>
      </c>
      <c r="G434" s="62">
        <f>SUM(G435:G435)</f>
        <v>150</v>
      </c>
      <c r="H434" s="336"/>
      <c r="I434" s="336"/>
      <c r="J434" s="336"/>
      <c r="K434" s="336"/>
      <c r="L434" s="336"/>
      <c r="M434" s="336"/>
      <c r="N434" s="336"/>
      <c r="O434" s="336"/>
      <c r="P434" s="336"/>
      <c r="Q434" s="337"/>
      <c r="R434" s="336"/>
      <c r="S434" s="336"/>
      <c r="T434" s="336"/>
      <c r="U434" s="336"/>
      <c r="V434" s="336"/>
      <c r="W434" s="336"/>
      <c r="X434" s="336"/>
      <c r="Y434" s="336"/>
      <c r="Z434" s="336"/>
    </row>
    <row r="435" spans="1:26" s="307" customFormat="1" ht="15.75">
      <c r="A435" s="253" t="s">
        <v>195</v>
      </c>
      <c r="B435" s="51"/>
      <c r="C435" s="48" t="s">
        <v>129</v>
      </c>
      <c r="D435" s="48" t="s">
        <v>158</v>
      </c>
      <c r="E435" s="49" t="s">
        <v>36</v>
      </c>
      <c r="F435" s="56" t="s">
        <v>196</v>
      </c>
      <c r="G435" s="62">
        <v>150</v>
      </c>
      <c r="H435" s="336"/>
      <c r="I435" s="336"/>
      <c r="J435" s="336"/>
      <c r="K435" s="336"/>
      <c r="L435" s="336"/>
      <c r="M435" s="336"/>
      <c r="N435" s="336"/>
      <c r="O435" s="336"/>
      <c r="P435" s="336"/>
      <c r="Q435" s="337"/>
      <c r="R435" s="336"/>
      <c r="S435" s="336"/>
      <c r="T435" s="336"/>
      <c r="U435" s="336"/>
      <c r="V435" s="336"/>
      <c r="W435" s="336"/>
      <c r="X435" s="336"/>
      <c r="Y435" s="336"/>
      <c r="Z435" s="336"/>
    </row>
    <row r="436" spans="1:26" s="307" customFormat="1" ht="78.75">
      <c r="A436" s="270" t="s">
        <v>552</v>
      </c>
      <c r="B436" s="51"/>
      <c r="C436" s="48" t="s">
        <v>129</v>
      </c>
      <c r="D436" s="48" t="s">
        <v>158</v>
      </c>
      <c r="E436" s="76" t="s">
        <v>418</v>
      </c>
      <c r="F436" s="76"/>
      <c r="G436" s="62">
        <f>G437</f>
        <v>50</v>
      </c>
      <c r="H436" s="344"/>
      <c r="I436" s="345"/>
      <c r="J436" s="336"/>
      <c r="K436" s="336"/>
      <c r="L436" s="336"/>
      <c r="M436" s="336"/>
      <c r="N436" s="336"/>
      <c r="O436" s="336"/>
      <c r="P436" s="336"/>
      <c r="Q436" s="337"/>
      <c r="R436" s="336"/>
      <c r="S436" s="336"/>
      <c r="T436" s="336"/>
      <c r="U436" s="336"/>
      <c r="V436" s="336"/>
      <c r="W436" s="336"/>
      <c r="X436" s="336"/>
      <c r="Y436" s="336"/>
      <c r="Z436" s="336"/>
    </row>
    <row r="437" spans="1:26" s="307" customFormat="1" ht="31.5">
      <c r="A437" s="262" t="s">
        <v>263</v>
      </c>
      <c r="B437" s="51"/>
      <c r="C437" s="48" t="s">
        <v>129</v>
      </c>
      <c r="D437" s="48" t="s">
        <v>158</v>
      </c>
      <c r="E437" s="76" t="s">
        <v>418</v>
      </c>
      <c r="F437" s="76" t="s">
        <v>178</v>
      </c>
      <c r="G437" s="62">
        <f>G438</f>
        <v>50</v>
      </c>
      <c r="H437" s="344"/>
      <c r="I437" s="345"/>
      <c r="J437" s="336"/>
      <c r="K437" s="336"/>
      <c r="L437" s="336"/>
      <c r="M437" s="336"/>
      <c r="N437" s="336"/>
      <c r="O437" s="336"/>
      <c r="P437" s="336"/>
      <c r="Q437" s="337"/>
      <c r="R437" s="336"/>
      <c r="S437" s="336"/>
      <c r="T437" s="336"/>
      <c r="U437" s="336"/>
      <c r="V437" s="336"/>
      <c r="W437" s="336"/>
      <c r="X437" s="336"/>
      <c r="Y437" s="336"/>
      <c r="Z437" s="336"/>
    </row>
    <row r="438" spans="1:26" s="307" customFormat="1" ht="15.75">
      <c r="A438" s="253" t="s">
        <v>195</v>
      </c>
      <c r="B438" s="51"/>
      <c r="C438" s="48" t="s">
        <v>129</v>
      </c>
      <c r="D438" s="48" t="s">
        <v>158</v>
      </c>
      <c r="E438" s="76" t="s">
        <v>418</v>
      </c>
      <c r="F438" s="76" t="s">
        <v>196</v>
      </c>
      <c r="G438" s="62">
        <v>50</v>
      </c>
      <c r="H438" s="344"/>
      <c r="I438" s="345"/>
      <c r="J438" s="336"/>
      <c r="K438" s="336"/>
      <c r="L438" s="336"/>
      <c r="M438" s="336"/>
      <c r="N438" s="336"/>
      <c r="O438" s="336"/>
      <c r="P438" s="336"/>
      <c r="Q438" s="337"/>
      <c r="R438" s="336"/>
      <c r="S438" s="336"/>
      <c r="T438" s="336"/>
      <c r="U438" s="336"/>
      <c r="V438" s="336"/>
      <c r="W438" s="336"/>
      <c r="X438" s="336"/>
      <c r="Y438" s="336"/>
      <c r="Z438" s="336"/>
    </row>
    <row r="439" spans="1:26" s="307" customFormat="1" ht="31.5">
      <c r="A439" s="262" t="s">
        <v>595</v>
      </c>
      <c r="B439" s="51"/>
      <c r="C439" s="48" t="s">
        <v>129</v>
      </c>
      <c r="D439" s="48" t="s">
        <v>158</v>
      </c>
      <c r="E439" s="76" t="s">
        <v>607</v>
      </c>
      <c r="F439" s="76"/>
      <c r="G439" s="62">
        <f>G440</f>
        <v>331.5</v>
      </c>
      <c r="H439" s="344"/>
      <c r="I439" s="345"/>
      <c r="J439" s="336"/>
      <c r="K439" s="336"/>
      <c r="L439" s="336"/>
      <c r="M439" s="336"/>
      <c r="N439" s="336"/>
      <c r="O439" s="336"/>
      <c r="P439" s="336"/>
      <c r="Q439" s="337"/>
      <c r="R439" s="336"/>
      <c r="S439" s="336"/>
      <c r="T439" s="336"/>
      <c r="U439" s="336"/>
      <c r="V439" s="336"/>
      <c r="W439" s="336"/>
      <c r="X439" s="336"/>
      <c r="Y439" s="336"/>
      <c r="Z439" s="336"/>
    </row>
    <row r="440" spans="1:26" s="307" customFormat="1" ht="31.5">
      <c r="A440" s="262" t="s">
        <v>263</v>
      </c>
      <c r="B440" s="51"/>
      <c r="C440" s="48" t="s">
        <v>129</v>
      </c>
      <c r="D440" s="48" t="s">
        <v>158</v>
      </c>
      <c r="E440" s="76" t="s">
        <v>607</v>
      </c>
      <c r="F440" s="76" t="s">
        <v>178</v>
      </c>
      <c r="G440" s="62">
        <f>G441</f>
        <v>331.5</v>
      </c>
      <c r="H440" s="344"/>
      <c r="I440" s="345"/>
      <c r="J440" s="336"/>
      <c r="K440" s="336"/>
      <c r="L440" s="336"/>
      <c r="M440" s="336"/>
      <c r="N440" s="336"/>
      <c r="O440" s="336"/>
      <c r="P440" s="336"/>
      <c r="Q440" s="337"/>
      <c r="R440" s="336"/>
      <c r="S440" s="336"/>
      <c r="T440" s="336"/>
      <c r="U440" s="336"/>
      <c r="V440" s="336"/>
      <c r="W440" s="336"/>
      <c r="X440" s="336"/>
      <c r="Y440" s="336"/>
      <c r="Z440" s="336"/>
    </row>
    <row r="441" spans="1:26" s="307" customFormat="1" ht="15.75">
      <c r="A441" s="253" t="s">
        <v>195</v>
      </c>
      <c r="B441" s="51"/>
      <c r="C441" s="48" t="s">
        <v>129</v>
      </c>
      <c r="D441" s="48" t="s">
        <v>158</v>
      </c>
      <c r="E441" s="76" t="s">
        <v>607</v>
      </c>
      <c r="F441" s="76" t="s">
        <v>196</v>
      </c>
      <c r="G441" s="62">
        <v>331.5</v>
      </c>
      <c r="H441" s="344"/>
      <c r="I441" s="345"/>
      <c r="J441" s="336"/>
      <c r="K441" s="336"/>
      <c r="L441" s="336"/>
      <c r="M441" s="336"/>
      <c r="N441" s="336"/>
      <c r="O441" s="336"/>
      <c r="P441" s="336"/>
      <c r="Q441" s="337"/>
      <c r="R441" s="336"/>
      <c r="S441" s="336"/>
      <c r="T441" s="336"/>
      <c r="U441" s="336"/>
      <c r="V441" s="336"/>
      <c r="W441" s="336"/>
      <c r="X441" s="336"/>
      <c r="Y441" s="336"/>
      <c r="Z441" s="336"/>
    </row>
    <row r="442" spans="1:26" s="307" customFormat="1" ht="17.25" customHeight="1">
      <c r="A442" s="234" t="s">
        <v>539</v>
      </c>
      <c r="B442" s="51"/>
      <c r="C442" s="45" t="s">
        <v>129</v>
      </c>
      <c r="D442" s="45" t="s">
        <v>158</v>
      </c>
      <c r="E442" s="52" t="s">
        <v>80</v>
      </c>
      <c r="F442" s="57"/>
      <c r="G442" s="58">
        <f>G443</f>
        <v>50</v>
      </c>
      <c r="H442" s="344"/>
      <c r="I442" s="345"/>
      <c r="J442" s="336"/>
      <c r="K442" s="336"/>
      <c r="L442" s="336"/>
      <c r="M442" s="336"/>
      <c r="N442" s="336"/>
      <c r="O442" s="336"/>
      <c r="P442" s="336"/>
      <c r="Q442" s="337"/>
      <c r="R442" s="346">
        <f>G442+G593</f>
        <v>170.9</v>
      </c>
      <c r="S442" s="336"/>
      <c r="T442" s="336"/>
      <c r="U442" s="336"/>
      <c r="V442" s="336"/>
      <c r="W442" s="336"/>
      <c r="X442" s="336"/>
      <c r="Y442" s="336"/>
      <c r="Z442" s="336"/>
    </row>
    <row r="443" spans="1:26" s="307" customFormat="1" ht="15.75">
      <c r="A443" s="268" t="s">
        <v>540</v>
      </c>
      <c r="B443" s="66"/>
      <c r="C443" s="48" t="s">
        <v>129</v>
      </c>
      <c r="D443" s="48" t="s">
        <v>158</v>
      </c>
      <c r="E443" s="49" t="s">
        <v>81</v>
      </c>
      <c r="F443" s="56"/>
      <c r="G443" s="62">
        <f>G444</f>
        <v>50</v>
      </c>
      <c r="H443" s="344">
        <v>244</v>
      </c>
      <c r="I443" s="345">
        <f>500000+306000-5132.5</f>
        <v>800867.5</v>
      </c>
      <c r="J443" s="336"/>
      <c r="K443" s="336"/>
      <c r="L443" s="336"/>
      <c r="M443" s="336"/>
      <c r="N443" s="336"/>
      <c r="O443" s="336"/>
      <c r="P443" s="336"/>
      <c r="Q443" s="337"/>
      <c r="R443" s="336"/>
      <c r="S443" s="336"/>
      <c r="T443" s="336"/>
      <c r="U443" s="336"/>
      <c r="V443" s="336"/>
      <c r="W443" s="336"/>
      <c r="X443" s="336"/>
      <c r="Y443" s="336"/>
      <c r="Z443" s="336"/>
    </row>
    <row r="444" spans="1:26" s="307" customFormat="1" ht="31.5">
      <c r="A444" s="163" t="s">
        <v>190</v>
      </c>
      <c r="B444" s="66"/>
      <c r="C444" s="48" t="s">
        <v>129</v>
      </c>
      <c r="D444" s="48" t="s">
        <v>158</v>
      </c>
      <c r="E444" s="49" t="s">
        <v>81</v>
      </c>
      <c r="F444" s="56" t="s">
        <v>178</v>
      </c>
      <c r="G444" s="62">
        <f>G445</f>
        <v>50</v>
      </c>
      <c r="H444" s="344"/>
      <c r="I444" s="345"/>
      <c r="J444" s="336"/>
      <c r="K444" s="336"/>
      <c r="L444" s="336"/>
      <c r="M444" s="336"/>
      <c r="N444" s="336"/>
      <c r="O444" s="336"/>
      <c r="P444" s="336"/>
      <c r="Q444" s="337"/>
      <c r="R444" s="336"/>
      <c r="S444" s="336"/>
      <c r="T444" s="336"/>
      <c r="U444" s="336"/>
      <c r="V444" s="336"/>
      <c r="W444" s="336"/>
      <c r="X444" s="336"/>
      <c r="Y444" s="336"/>
      <c r="Z444" s="336"/>
    </row>
    <row r="445" spans="1:26" s="307" customFormat="1" ht="15.75">
      <c r="A445" s="253" t="s">
        <v>195</v>
      </c>
      <c r="B445" s="66"/>
      <c r="C445" s="48" t="s">
        <v>129</v>
      </c>
      <c r="D445" s="48" t="s">
        <v>158</v>
      </c>
      <c r="E445" s="49" t="s">
        <v>81</v>
      </c>
      <c r="F445" s="56" t="s">
        <v>196</v>
      </c>
      <c r="G445" s="62">
        <v>50</v>
      </c>
      <c r="H445" s="344"/>
      <c r="I445" s="345"/>
      <c r="J445" s="336"/>
      <c r="K445" s="336"/>
      <c r="L445" s="336"/>
      <c r="M445" s="336"/>
      <c r="N445" s="336"/>
      <c r="O445" s="336"/>
      <c r="P445" s="336"/>
      <c r="Q445" s="337"/>
      <c r="R445" s="336"/>
      <c r="S445" s="336"/>
      <c r="T445" s="336"/>
      <c r="U445" s="336"/>
      <c r="V445" s="336"/>
      <c r="W445" s="336"/>
      <c r="X445" s="336"/>
      <c r="Y445" s="336"/>
      <c r="Z445" s="336"/>
    </row>
    <row r="446" spans="1:26" s="307" customFormat="1" ht="15.75">
      <c r="A446" s="242" t="s">
        <v>512</v>
      </c>
      <c r="B446" s="66"/>
      <c r="C446" s="45" t="s">
        <v>129</v>
      </c>
      <c r="D446" s="45" t="s">
        <v>158</v>
      </c>
      <c r="E446" s="52" t="s">
        <v>511</v>
      </c>
      <c r="F446" s="56"/>
      <c r="G446" s="58">
        <f>G447</f>
        <v>29197.69</v>
      </c>
      <c r="H446" s="336"/>
      <c r="I446" s="336"/>
      <c r="J446" s="336"/>
      <c r="K446" s="336"/>
      <c r="L446" s="336"/>
      <c r="M446" s="336"/>
      <c r="N446" s="336"/>
      <c r="O446" s="336"/>
      <c r="P446" s="336"/>
      <c r="Q446" s="337"/>
      <c r="R446" s="346">
        <f>G446</f>
        <v>29197.69</v>
      </c>
      <c r="S446" s="336"/>
      <c r="T446" s="336"/>
      <c r="U446" s="336"/>
      <c r="V446" s="336"/>
      <c r="W446" s="336"/>
      <c r="X446" s="336"/>
      <c r="Y446" s="336"/>
      <c r="Z446" s="336"/>
    </row>
    <row r="447" spans="1:26" s="307" customFormat="1" ht="15.75">
      <c r="A447" s="242" t="s">
        <v>289</v>
      </c>
      <c r="B447" s="66"/>
      <c r="C447" s="45" t="s">
        <v>129</v>
      </c>
      <c r="D447" s="45" t="s">
        <v>158</v>
      </c>
      <c r="E447" s="52" t="s">
        <v>281</v>
      </c>
      <c r="F447" s="56"/>
      <c r="G447" s="62">
        <f>G448</f>
        <v>29197.69</v>
      </c>
      <c r="H447" s="336"/>
      <c r="I447" s="336"/>
      <c r="J447" s="336"/>
      <c r="K447" s="336"/>
      <c r="L447" s="336"/>
      <c r="M447" s="336"/>
      <c r="N447" s="336"/>
      <c r="O447" s="336"/>
      <c r="P447" s="336"/>
      <c r="Q447" s="337"/>
      <c r="R447" s="336"/>
      <c r="S447" s="336"/>
      <c r="T447" s="336"/>
      <c r="U447" s="336"/>
      <c r="V447" s="336"/>
      <c r="W447" s="336"/>
      <c r="X447" s="336"/>
      <c r="Y447" s="336"/>
      <c r="Z447" s="336"/>
    </row>
    <row r="448" spans="1:26" s="307" customFormat="1" ht="47.25">
      <c r="A448" s="238" t="s">
        <v>668</v>
      </c>
      <c r="B448" s="66"/>
      <c r="C448" s="48" t="s">
        <v>129</v>
      </c>
      <c r="D448" s="48" t="s">
        <v>158</v>
      </c>
      <c r="E448" s="56" t="s">
        <v>667</v>
      </c>
      <c r="F448" s="56"/>
      <c r="G448" s="62">
        <f>G449</f>
        <v>29197.69</v>
      </c>
      <c r="H448" s="336"/>
      <c r="I448" s="336"/>
      <c r="J448" s="336"/>
      <c r="K448" s="336"/>
      <c r="L448" s="336"/>
      <c r="M448" s="336"/>
      <c r="N448" s="336"/>
      <c r="O448" s="336"/>
      <c r="P448" s="336"/>
      <c r="Q448" s="337"/>
      <c r="R448" s="336"/>
      <c r="S448" s="336"/>
      <c r="T448" s="336"/>
      <c r="U448" s="336"/>
      <c r="V448" s="336"/>
      <c r="W448" s="336"/>
      <c r="X448" s="336"/>
      <c r="Y448" s="336"/>
      <c r="Z448" s="336"/>
    </row>
    <row r="449" spans="1:26" s="307" customFormat="1" ht="31.5">
      <c r="A449" s="271" t="s">
        <v>190</v>
      </c>
      <c r="B449" s="66"/>
      <c r="C449" s="48" t="s">
        <v>129</v>
      </c>
      <c r="D449" s="48" t="s">
        <v>158</v>
      </c>
      <c r="E449" s="56" t="s">
        <v>667</v>
      </c>
      <c r="F449" s="56" t="s">
        <v>178</v>
      </c>
      <c r="G449" s="62">
        <f>G450</f>
        <v>29197.69</v>
      </c>
      <c r="H449" s="336"/>
      <c r="I449" s="336"/>
      <c r="J449" s="336"/>
      <c r="K449" s="336"/>
      <c r="L449" s="336"/>
      <c r="M449" s="336"/>
      <c r="N449" s="336"/>
      <c r="O449" s="336"/>
      <c r="P449" s="336"/>
      <c r="Q449" s="337"/>
      <c r="R449" s="336"/>
      <c r="S449" s="336"/>
      <c r="T449" s="336"/>
      <c r="U449" s="336"/>
      <c r="V449" s="336"/>
      <c r="W449" s="336"/>
      <c r="X449" s="336"/>
      <c r="Y449" s="336"/>
      <c r="Z449" s="336"/>
    </row>
    <row r="450" spans="1:26" s="307" customFormat="1" ht="15.75">
      <c r="A450" s="271" t="s">
        <v>197</v>
      </c>
      <c r="B450" s="66"/>
      <c r="C450" s="48" t="s">
        <v>129</v>
      </c>
      <c r="D450" s="48" t="s">
        <v>158</v>
      </c>
      <c r="E450" s="56" t="s">
        <v>667</v>
      </c>
      <c r="F450" s="56" t="s">
        <v>196</v>
      </c>
      <c r="G450" s="62">
        <f>324+28873.69</f>
        <v>29197.69</v>
      </c>
      <c r="H450" s="336"/>
      <c r="I450" s="336"/>
      <c r="J450" s="336"/>
      <c r="K450" s="336"/>
      <c r="L450" s="336"/>
      <c r="M450" s="336"/>
      <c r="N450" s="336"/>
      <c r="O450" s="336"/>
      <c r="P450" s="336"/>
      <c r="Q450" s="337"/>
      <c r="R450" s="336"/>
      <c r="S450" s="336"/>
      <c r="T450" s="336"/>
      <c r="U450" s="336"/>
      <c r="V450" s="336"/>
      <c r="W450" s="336"/>
      <c r="X450" s="336"/>
      <c r="Y450" s="336"/>
      <c r="Z450" s="336"/>
    </row>
    <row r="451" spans="1:26" s="307" customFormat="1" ht="15.75">
      <c r="A451" s="252" t="s">
        <v>550</v>
      </c>
      <c r="B451" s="55"/>
      <c r="C451" s="45" t="s">
        <v>129</v>
      </c>
      <c r="D451" s="45" t="s">
        <v>129</v>
      </c>
      <c r="E451" s="57" t="s">
        <v>337</v>
      </c>
      <c r="F451" s="57"/>
      <c r="G451" s="58">
        <f>G452</f>
        <v>150</v>
      </c>
      <c r="H451" s="336"/>
      <c r="I451" s="336"/>
      <c r="J451" s="336"/>
      <c r="K451" s="336"/>
      <c r="L451" s="336"/>
      <c r="M451" s="336"/>
      <c r="N451" s="336"/>
      <c r="O451" s="336"/>
      <c r="P451" s="336"/>
      <c r="Q451" s="337"/>
      <c r="R451" s="336"/>
      <c r="S451" s="336"/>
      <c r="T451" s="336"/>
      <c r="U451" s="336"/>
      <c r="V451" s="336"/>
      <c r="W451" s="336"/>
      <c r="X451" s="336"/>
      <c r="Y451" s="336"/>
      <c r="Z451" s="336"/>
    </row>
    <row r="452" spans="1:26" s="307" customFormat="1" ht="15.75">
      <c r="A452" s="238" t="s">
        <v>309</v>
      </c>
      <c r="B452" s="55"/>
      <c r="C452" s="48" t="s">
        <v>129</v>
      </c>
      <c r="D452" s="48" t="s">
        <v>129</v>
      </c>
      <c r="E452" s="56" t="s">
        <v>372</v>
      </c>
      <c r="F452" s="56"/>
      <c r="G452" s="62">
        <f>SUM(G453)</f>
        <v>150</v>
      </c>
      <c r="H452" s="336"/>
      <c r="I452" s="336"/>
      <c r="J452" s="336"/>
      <c r="K452" s="336"/>
      <c r="L452" s="336"/>
      <c r="M452" s="336"/>
      <c r="N452" s="336"/>
      <c r="O452" s="336"/>
      <c r="P452" s="336"/>
      <c r="Q452" s="337"/>
      <c r="R452" s="336"/>
      <c r="S452" s="336"/>
      <c r="T452" s="336"/>
      <c r="U452" s="336"/>
      <c r="V452" s="336"/>
      <c r="W452" s="336"/>
      <c r="X452" s="336"/>
      <c r="Y452" s="336"/>
      <c r="Z452" s="336"/>
    </row>
    <row r="453" spans="1:26" s="307" customFormat="1" ht="31.5">
      <c r="A453" s="163" t="s">
        <v>190</v>
      </c>
      <c r="B453" s="47"/>
      <c r="C453" s="48" t="s">
        <v>129</v>
      </c>
      <c r="D453" s="48" t="s">
        <v>129</v>
      </c>
      <c r="E453" s="56" t="s">
        <v>372</v>
      </c>
      <c r="F453" s="56" t="s">
        <v>178</v>
      </c>
      <c r="G453" s="62">
        <f>G454</f>
        <v>150</v>
      </c>
      <c r="H453" s="336"/>
      <c r="I453" s="336"/>
      <c r="J453" s="336"/>
      <c r="K453" s="336"/>
      <c r="L453" s="336"/>
      <c r="M453" s="336"/>
      <c r="N453" s="336"/>
      <c r="O453" s="336"/>
      <c r="P453" s="336"/>
      <c r="Q453" s="337"/>
      <c r="R453" s="336"/>
      <c r="S453" s="336"/>
      <c r="T453" s="336"/>
      <c r="U453" s="336"/>
      <c r="V453" s="336"/>
      <c r="W453" s="336"/>
      <c r="X453" s="336"/>
      <c r="Y453" s="336"/>
      <c r="Z453" s="336"/>
    </row>
    <row r="454" spans="1:26" s="307" customFormat="1" ht="15.75">
      <c r="A454" s="253" t="s">
        <v>191</v>
      </c>
      <c r="B454" s="55"/>
      <c r="C454" s="48" t="s">
        <v>129</v>
      </c>
      <c r="D454" s="48" t="s">
        <v>129</v>
      </c>
      <c r="E454" s="56" t="s">
        <v>372</v>
      </c>
      <c r="F454" s="56" t="s">
        <v>192</v>
      </c>
      <c r="G454" s="62">
        <v>150</v>
      </c>
      <c r="H454" s="336"/>
      <c r="I454" s="336"/>
      <c r="J454" s="336"/>
      <c r="K454" s="336"/>
      <c r="L454" s="336"/>
      <c r="M454" s="336"/>
      <c r="N454" s="336"/>
      <c r="O454" s="336"/>
      <c r="P454" s="336"/>
      <c r="Q454" s="337"/>
      <c r="R454" s="336"/>
      <c r="S454" s="336"/>
      <c r="T454" s="336"/>
      <c r="U454" s="336"/>
      <c r="V454" s="336"/>
      <c r="W454" s="336"/>
      <c r="X454" s="336"/>
      <c r="Y454" s="336"/>
      <c r="Z454" s="336"/>
    </row>
    <row r="455" spans="1:26" s="307" customFormat="1" ht="15.75">
      <c r="A455" s="234" t="s">
        <v>125</v>
      </c>
      <c r="B455" s="54"/>
      <c r="C455" s="45" t="s">
        <v>129</v>
      </c>
      <c r="D455" s="45" t="s">
        <v>168</v>
      </c>
      <c r="E455" s="52"/>
      <c r="F455" s="57"/>
      <c r="G455" s="68">
        <f>G456+G468</f>
        <v>20506.6</v>
      </c>
      <c r="H455" s="336"/>
      <c r="I455" s="336"/>
      <c r="J455" s="336"/>
      <c r="K455" s="336"/>
      <c r="L455" s="336"/>
      <c r="M455" s="336"/>
      <c r="N455" s="336"/>
      <c r="O455" s="336"/>
      <c r="P455" s="336"/>
      <c r="Q455" s="337"/>
      <c r="R455" s="336"/>
      <c r="S455" s="336"/>
      <c r="T455" s="336"/>
      <c r="U455" s="336"/>
      <c r="V455" s="336"/>
      <c r="W455" s="336"/>
      <c r="X455" s="336"/>
      <c r="Y455" s="336"/>
      <c r="Z455" s="336"/>
    </row>
    <row r="456" spans="1:26" s="307" customFormat="1" ht="15.75">
      <c r="A456" s="258" t="s">
        <v>465</v>
      </c>
      <c r="B456" s="54"/>
      <c r="C456" s="45" t="s">
        <v>129</v>
      </c>
      <c r="D456" s="45" t="s">
        <v>168</v>
      </c>
      <c r="E456" s="52" t="s">
        <v>11</v>
      </c>
      <c r="F456" s="57"/>
      <c r="G456" s="68">
        <f>G457</f>
        <v>16292.4</v>
      </c>
      <c r="H456" s="336"/>
      <c r="I456" s="336"/>
      <c r="J456" s="336"/>
      <c r="K456" s="336"/>
      <c r="L456" s="336"/>
      <c r="M456" s="336"/>
      <c r="N456" s="336"/>
      <c r="O456" s="336"/>
      <c r="P456" s="336"/>
      <c r="Q456" s="337"/>
      <c r="R456" s="336"/>
      <c r="S456" s="336"/>
      <c r="T456" s="336"/>
      <c r="U456" s="336"/>
      <c r="V456" s="336"/>
      <c r="W456" s="336"/>
      <c r="X456" s="336"/>
      <c r="Y456" s="336"/>
      <c r="Z456" s="336"/>
    </row>
    <row r="457" spans="1:26" s="307" customFormat="1" ht="31.5">
      <c r="A457" s="234" t="s">
        <v>548</v>
      </c>
      <c r="B457" s="54"/>
      <c r="C457" s="45" t="s">
        <v>129</v>
      </c>
      <c r="D457" s="45" t="s">
        <v>168</v>
      </c>
      <c r="E457" s="52" t="s">
        <v>377</v>
      </c>
      <c r="F457" s="57"/>
      <c r="G457" s="68">
        <f>G458+G463</f>
        <v>16292.4</v>
      </c>
      <c r="H457" s="336"/>
      <c r="I457" s="336"/>
      <c r="J457" s="336"/>
      <c r="K457" s="336"/>
      <c r="L457" s="336"/>
      <c r="M457" s="336"/>
      <c r="N457" s="336"/>
      <c r="O457" s="336"/>
      <c r="P457" s="336"/>
      <c r="Q457" s="337"/>
      <c r="R457" s="336"/>
      <c r="S457" s="336"/>
      <c r="T457" s="336"/>
      <c r="U457" s="336"/>
      <c r="V457" s="336"/>
      <c r="W457" s="336"/>
      <c r="X457" s="336"/>
      <c r="Y457" s="336"/>
      <c r="Z457" s="336"/>
    </row>
    <row r="458" spans="1:26" s="307" customFormat="1" ht="15.75">
      <c r="A458" s="257" t="s">
        <v>108</v>
      </c>
      <c r="B458" s="47"/>
      <c r="C458" s="48" t="s">
        <v>129</v>
      </c>
      <c r="D458" s="48" t="s">
        <v>168</v>
      </c>
      <c r="E458" s="49" t="s">
        <v>376</v>
      </c>
      <c r="F458" s="56"/>
      <c r="G458" s="62">
        <f>G459+G461</f>
        <v>15892.4</v>
      </c>
      <c r="H458" s="336"/>
      <c r="I458" s="336"/>
      <c r="J458" s="336"/>
      <c r="K458" s="336"/>
      <c r="L458" s="336"/>
      <c r="M458" s="336"/>
      <c r="N458" s="336"/>
      <c r="O458" s="336"/>
      <c r="P458" s="336"/>
      <c r="Q458" s="337"/>
      <c r="R458" s="336"/>
      <c r="S458" s="336"/>
      <c r="T458" s="336"/>
      <c r="U458" s="336"/>
      <c r="V458" s="336"/>
      <c r="W458" s="336"/>
      <c r="X458" s="336"/>
      <c r="Y458" s="336"/>
      <c r="Z458" s="336"/>
    </row>
    <row r="459" spans="1:26" s="307" customFormat="1" ht="18.75" customHeight="1">
      <c r="A459" s="237" t="s">
        <v>116</v>
      </c>
      <c r="B459" s="47"/>
      <c r="C459" s="48" t="s">
        <v>129</v>
      </c>
      <c r="D459" s="48" t="s">
        <v>168</v>
      </c>
      <c r="E459" s="49" t="s">
        <v>376</v>
      </c>
      <c r="F459" s="56" t="s">
        <v>198</v>
      </c>
      <c r="G459" s="62">
        <f>G460</f>
        <v>15340.699999999999</v>
      </c>
      <c r="H459" s="336"/>
      <c r="I459" s="336"/>
      <c r="J459" s="336"/>
      <c r="K459" s="336"/>
      <c r="L459" s="336"/>
      <c r="M459" s="336"/>
      <c r="N459" s="336"/>
      <c r="O459" s="336"/>
      <c r="P459" s="336"/>
      <c r="Q459" s="337"/>
      <c r="R459" s="336"/>
      <c r="S459" s="336"/>
      <c r="T459" s="336"/>
      <c r="U459" s="336"/>
      <c r="V459" s="336"/>
      <c r="W459" s="336"/>
      <c r="X459" s="336"/>
      <c r="Y459" s="336"/>
      <c r="Z459" s="336"/>
    </row>
    <row r="460" spans="1:26" s="307" customFormat="1" ht="19.5" customHeight="1">
      <c r="A460" s="272" t="s">
        <v>193</v>
      </c>
      <c r="B460" s="47"/>
      <c r="C460" s="48" t="s">
        <v>129</v>
      </c>
      <c r="D460" s="48" t="s">
        <v>168</v>
      </c>
      <c r="E460" s="49" t="s">
        <v>376</v>
      </c>
      <c r="F460" s="56" t="s">
        <v>194</v>
      </c>
      <c r="G460" s="62">
        <f>14461.3+879.4</f>
        <v>15340.699999999999</v>
      </c>
      <c r="H460" s="336"/>
      <c r="I460" s="336"/>
      <c r="J460" s="336"/>
      <c r="K460" s="336"/>
      <c r="L460" s="336"/>
      <c r="M460" s="336"/>
      <c r="N460" s="336"/>
      <c r="O460" s="336"/>
      <c r="P460" s="336"/>
      <c r="Q460" s="337"/>
      <c r="R460" s="336"/>
      <c r="S460" s="336"/>
      <c r="T460" s="336"/>
      <c r="U460" s="336"/>
      <c r="V460" s="336"/>
      <c r="W460" s="336"/>
      <c r="X460" s="336"/>
      <c r="Y460" s="336"/>
      <c r="Z460" s="336"/>
    </row>
    <row r="461" spans="1:26" s="307" customFormat="1" ht="15.75">
      <c r="A461" s="237" t="s">
        <v>226</v>
      </c>
      <c r="B461" s="47"/>
      <c r="C461" s="48" t="s">
        <v>129</v>
      </c>
      <c r="D461" s="48" t="s">
        <v>168</v>
      </c>
      <c r="E461" s="49" t="s">
        <v>376</v>
      </c>
      <c r="F461" s="56" t="s">
        <v>188</v>
      </c>
      <c r="G461" s="62">
        <f>G462</f>
        <v>551.7</v>
      </c>
      <c r="H461" s="336"/>
      <c r="I461" s="336"/>
      <c r="J461" s="336"/>
      <c r="K461" s="336"/>
      <c r="L461" s="336"/>
      <c r="M461" s="336"/>
      <c r="N461" s="336"/>
      <c r="O461" s="336"/>
      <c r="P461" s="336"/>
      <c r="Q461" s="337"/>
      <c r="R461" s="336"/>
      <c r="S461" s="336"/>
      <c r="T461" s="336"/>
      <c r="U461" s="336"/>
      <c r="V461" s="336"/>
      <c r="W461" s="336"/>
      <c r="X461" s="336"/>
      <c r="Y461" s="336"/>
      <c r="Z461" s="336"/>
    </row>
    <row r="462" spans="1:26" s="307" customFormat="1" ht="15.75">
      <c r="A462" s="163" t="s">
        <v>189</v>
      </c>
      <c r="B462" s="47"/>
      <c r="C462" s="48" t="s">
        <v>129</v>
      </c>
      <c r="D462" s="48" t="s">
        <v>168</v>
      </c>
      <c r="E462" s="49" t="s">
        <v>376</v>
      </c>
      <c r="F462" s="56" t="s">
        <v>187</v>
      </c>
      <c r="G462" s="62">
        <v>551.7</v>
      </c>
      <c r="H462" s="336"/>
      <c r="I462" s="336"/>
      <c r="J462" s="336"/>
      <c r="K462" s="336"/>
      <c r="L462" s="336"/>
      <c r="M462" s="336"/>
      <c r="N462" s="336"/>
      <c r="O462" s="336"/>
      <c r="P462" s="336"/>
      <c r="Q462" s="337"/>
      <c r="R462" s="336"/>
      <c r="S462" s="336"/>
      <c r="T462" s="336"/>
      <c r="U462" s="336"/>
      <c r="V462" s="336"/>
      <c r="W462" s="336"/>
      <c r="X462" s="336"/>
      <c r="Y462" s="336"/>
      <c r="Z462" s="336"/>
    </row>
    <row r="463" spans="1:26" s="307" customFormat="1" ht="18" customHeight="1">
      <c r="A463" s="273" t="s">
        <v>105</v>
      </c>
      <c r="B463" s="47"/>
      <c r="C463" s="48" t="s">
        <v>129</v>
      </c>
      <c r="D463" s="48" t="s">
        <v>168</v>
      </c>
      <c r="E463" s="49" t="s">
        <v>378</v>
      </c>
      <c r="F463" s="56"/>
      <c r="G463" s="70">
        <f>G464+G466</f>
        <v>400</v>
      </c>
      <c r="H463" s="336"/>
      <c r="I463" s="336"/>
      <c r="J463" s="336"/>
      <c r="K463" s="336"/>
      <c r="L463" s="336"/>
      <c r="M463" s="336"/>
      <c r="N463" s="336"/>
      <c r="O463" s="336"/>
      <c r="P463" s="336"/>
      <c r="Q463" s="337"/>
      <c r="R463" s="336"/>
      <c r="S463" s="336"/>
      <c r="T463" s="336"/>
      <c r="U463" s="336"/>
      <c r="V463" s="336"/>
      <c r="W463" s="336"/>
      <c r="X463" s="336"/>
      <c r="Y463" s="336"/>
      <c r="Z463" s="336"/>
    </row>
    <row r="464" spans="1:26" s="307" customFormat="1" ht="47.25">
      <c r="A464" s="237" t="s">
        <v>116</v>
      </c>
      <c r="B464" s="47"/>
      <c r="C464" s="48" t="s">
        <v>129</v>
      </c>
      <c r="D464" s="48" t="s">
        <v>168</v>
      </c>
      <c r="E464" s="49" t="s">
        <v>378</v>
      </c>
      <c r="F464" s="56" t="s">
        <v>198</v>
      </c>
      <c r="G464" s="70">
        <f>G465</f>
        <v>300</v>
      </c>
      <c r="H464" s="336"/>
      <c r="I464" s="336"/>
      <c r="J464" s="336"/>
      <c r="K464" s="336"/>
      <c r="L464" s="336"/>
      <c r="M464" s="336"/>
      <c r="N464" s="336"/>
      <c r="O464" s="336"/>
      <c r="P464" s="336"/>
      <c r="Q464" s="337"/>
      <c r="R464" s="336"/>
      <c r="S464" s="336"/>
      <c r="T464" s="336"/>
      <c r="U464" s="336"/>
      <c r="V464" s="336"/>
      <c r="W464" s="336"/>
      <c r="X464" s="336"/>
      <c r="Y464" s="336"/>
      <c r="Z464" s="336"/>
    </row>
    <row r="465" spans="1:26" s="307" customFormat="1" ht="15.75">
      <c r="A465" s="272" t="s">
        <v>193</v>
      </c>
      <c r="B465" s="47"/>
      <c r="C465" s="48" t="s">
        <v>129</v>
      </c>
      <c r="D465" s="48" t="s">
        <v>168</v>
      </c>
      <c r="E465" s="49" t="s">
        <v>378</v>
      </c>
      <c r="F465" s="56" t="s">
        <v>194</v>
      </c>
      <c r="G465" s="70">
        <v>300</v>
      </c>
      <c r="H465" s="336"/>
      <c r="I465" s="336"/>
      <c r="J465" s="336"/>
      <c r="K465" s="336"/>
      <c r="L465" s="336"/>
      <c r="M465" s="336"/>
      <c r="N465" s="336"/>
      <c r="O465" s="336"/>
      <c r="P465" s="336"/>
      <c r="Q465" s="337"/>
      <c r="R465" s="336"/>
      <c r="S465" s="336"/>
      <c r="T465" s="336"/>
      <c r="U465" s="336"/>
      <c r="V465" s="336"/>
      <c r="W465" s="336"/>
      <c r="X465" s="336"/>
      <c r="Y465" s="336"/>
      <c r="Z465" s="336"/>
    </row>
    <row r="466" spans="1:26" s="307" customFormat="1" ht="15.75">
      <c r="A466" s="237" t="s">
        <v>226</v>
      </c>
      <c r="B466" s="47"/>
      <c r="C466" s="48" t="s">
        <v>129</v>
      </c>
      <c r="D466" s="48" t="s">
        <v>168</v>
      </c>
      <c r="E466" s="49" t="s">
        <v>378</v>
      </c>
      <c r="F466" s="56" t="s">
        <v>188</v>
      </c>
      <c r="G466" s="70">
        <f>G467</f>
        <v>100</v>
      </c>
      <c r="H466" s="336"/>
      <c r="I466" s="336"/>
      <c r="J466" s="336"/>
      <c r="K466" s="336"/>
      <c r="L466" s="336"/>
      <c r="M466" s="336"/>
      <c r="N466" s="336"/>
      <c r="O466" s="336"/>
      <c r="P466" s="336"/>
      <c r="Q466" s="337"/>
      <c r="R466" s="336"/>
      <c r="S466" s="336"/>
      <c r="T466" s="336"/>
      <c r="U466" s="336"/>
      <c r="V466" s="336"/>
      <c r="W466" s="336"/>
      <c r="X466" s="336"/>
      <c r="Y466" s="336"/>
      <c r="Z466" s="336"/>
    </row>
    <row r="467" spans="1:26" s="307" customFormat="1" ht="15.75">
      <c r="A467" s="257" t="s">
        <v>189</v>
      </c>
      <c r="B467" s="47"/>
      <c r="C467" s="48" t="s">
        <v>129</v>
      </c>
      <c r="D467" s="48" t="s">
        <v>168</v>
      </c>
      <c r="E467" s="49" t="s">
        <v>378</v>
      </c>
      <c r="F467" s="56" t="s">
        <v>187</v>
      </c>
      <c r="G467" s="70">
        <v>100</v>
      </c>
      <c r="H467" s="336"/>
      <c r="I467" s="336"/>
      <c r="J467" s="336"/>
      <c r="K467" s="336"/>
      <c r="L467" s="336"/>
      <c r="M467" s="336"/>
      <c r="N467" s="336"/>
      <c r="O467" s="336"/>
      <c r="P467" s="336"/>
      <c r="Q467" s="337"/>
      <c r="R467" s="336"/>
      <c r="S467" s="336"/>
      <c r="T467" s="336"/>
      <c r="U467" s="336"/>
      <c r="V467" s="336"/>
      <c r="W467" s="336"/>
      <c r="X467" s="336"/>
      <c r="Y467" s="336"/>
      <c r="Z467" s="336"/>
    </row>
    <row r="468" spans="1:26" s="307" customFormat="1" ht="15.75">
      <c r="A468" s="252" t="s">
        <v>469</v>
      </c>
      <c r="B468" s="51"/>
      <c r="C468" s="45" t="s">
        <v>129</v>
      </c>
      <c r="D468" s="45" t="s">
        <v>168</v>
      </c>
      <c r="E468" s="52" t="s">
        <v>236</v>
      </c>
      <c r="F468" s="57"/>
      <c r="G468" s="68">
        <f>G469+G476</f>
        <v>4214.2</v>
      </c>
      <c r="H468" s="336"/>
      <c r="I468" s="336"/>
      <c r="J468" s="336"/>
      <c r="K468" s="336"/>
      <c r="L468" s="336"/>
      <c r="M468" s="336"/>
      <c r="N468" s="336"/>
      <c r="O468" s="336"/>
      <c r="P468" s="336"/>
      <c r="Q468" s="337"/>
      <c r="R468" s="336"/>
      <c r="S468" s="336"/>
      <c r="T468" s="336"/>
      <c r="U468" s="336"/>
      <c r="V468" s="336"/>
      <c r="W468" s="336"/>
      <c r="X468" s="336"/>
      <c r="Y468" s="336"/>
      <c r="Z468" s="336"/>
    </row>
    <row r="469" spans="1:26" s="307" customFormat="1" ht="15.75">
      <c r="A469" s="269" t="s">
        <v>201</v>
      </c>
      <c r="B469" s="51"/>
      <c r="C469" s="45" t="s">
        <v>129</v>
      </c>
      <c r="D469" s="45" t="s">
        <v>168</v>
      </c>
      <c r="E469" s="52" t="s">
        <v>237</v>
      </c>
      <c r="F469" s="57"/>
      <c r="G469" s="58">
        <f>G470+G473</f>
        <v>3164.2</v>
      </c>
      <c r="H469" s="336"/>
      <c r="I469" s="336"/>
      <c r="J469" s="336"/>
      <c r="K469" s="336"/>
      <c r="L469" s="336"/>
      <c r="M469" s="336"/>
      <c r="N469" s="336"/>
      <c r="O469" s="336"/>
      <c r="P469" s="336"/>
      <c r="Q469" s="337"/>
      <c r="R469" s="336"/>
      <c r="S469" s="336"/>
      <c r="T469" s="336"/>
      <c r="U469" s="336"/>
      <c r="V469" s="336"/>
      <c r="W469" s="336"/>
      <c r="X469" s="336"/>
      <c r="Y469" s="336"/>
      <c r="Z469" s="336"/>
    </row>
    <row r="470" spans="1:26" s="307" customFormat="1" ht="15.75">
      <c r="A470" s="238" t="s">
        <v>107</v>
      </c>
      <c r="B470" s="51"/>
      <c r="C470" s="48" t="s">
        <v>129</v>
      </c>
      <c r="D470" s="48" t="s">
        <v>168</v>
      </c>
      <c r="E470" s="49" t="s">
        <v>238</v>
      </c>
      <c r="F470" s="56"/>
      <c r="G470" s="62">
        <f>G471</f>
        <v>182.5</v>
      </c>
      <c r="H470" s="336"/>
      <c r="I470" s="336"/>
      <c r="J470" s="336"/>
      <c r="K470" s="336"/>
      <c r="L470" s="336"/>
      <c r="M470" s="336"/>
      <c r="N470" s="336"/>
      <c r="O470" s="336"/>
      <c r="P470" s="336"/>
      <c r="Q470" s="337"/>
      <c r="R470" s="336"/>
      <c r="S470" s="336"/>
      <c r="T470" s="336"/>
      <c r="U470" s="336"/>
      <c r="V470" s="336"/>
      <c r="W470" s="336"/>
      <c r="X470" s="336"/>
      <c r="Y470" s="336"/>
      <c r="Z470" s="336"/>
    </row>
    <row r="471" spans="1:26" s="307" customFormat="1" ht="31.5">
      <c r="A471" s="163" t="s">
        <v>190</v>
      </c>
      <c r="B471" s="51"/>
      <c r="C471" s="48" t="s">
        <v>129</v>
      </c>
      <c r="D471" s="48" t="s">
        <v>168</v>
      </c>
      <c r="E471" s="49" t="s">
        <v>238</v>
      </c>
      <c r="F471" s="56" t="s">
        <v>178</v>
      </c>
      <c r="G471" s="62">
        <f>G472</f>
        <v>182.5</v>
      </c>
      <c r="H471" s="336"/>
      <c r="I471" s="336"/>
      <c r="J471" s="336"/>
      <c r="K471" s="336"/>
      <c r="L471" s="336"/>
      <c r="M471" s="336"/>
      <c r="N471" s="336"/>
      <c r="O471" s="336"/>
      <c r="P471" s="336"/>
      <c r="Q471" s="337"/>
      <c r="R471" s="336"/>
      <c r="S471" s="336"/>
      <c r="T471" s="336"/>
      <c r="U471" s="336"/>
      <c r="V471" s="336"/>
      <c r="W471" s="336"/>
      <c r="X471" s="336"/>
      <c r="Y471" s="336"/>
      <c r="Z471" s="336"/>
    </row>
    <row r="472" spans="1:26" s="307" customFormat="1" ht="15.75">
      <c r="A472" s="253" t="s">
        <v>191</v>
      </c>
      <c r="B472" s="51"/>
      <c r="C472" s="48" t="s">
        <v>129</v>
      </c>
      <c r="D472" s="48" t="s">
        <v>168</v>
      </c>
      <c r="E472" s="49" t="s">
        <v>238</v>
      </c>
      <c r="F472" s="56" t="s">
        <v>192</v>
      </c>
      <c r="G472" s="62">
        <v>182.5</v>
      </c>
      <c r="H472" s="336"/>
      <c r="I472" s="336"/>
      <c r="J472" s="336"/>
      <c r="K472" s="336"/>
      <c r="L472" s="336"/>
      <c r="M472" s="336"/>
      <c r="N472" s="336"/>
      <c r="O472" s="336"/>
      <c r="P472" s="336"/>
      <c r="Q472" s="337"/>
      <c r="R472" s="336"/>
      <c r="S472" s="336"/>
      <c r="T472" s="336"/>
      <c r="U472" s="336"/>
      <c r="V472" s="336"/>
      <c r="W472" s="336"/>
      <c r="X472" s="336"/>
      <c r="Y472" s="336"/>
      <c r="Z472" s="336"/>
    </row>
    <row r="473" spans="1:26" s="307" customFormat="1" ht="47.25">
      <c r="A473" s="236" t="s">
        <v>468</v>
      </c>
      <c r="B473" s="51"/>
      <c r="C473" s="48" t="s">
        <v>129</v>
      </c>
      <c r="D473" s="48" t="s">
        <v>168</v>
      </c>
      <c r="E473" s="49" t="s">
        <v>242</v>
      </c>
      <c r="F473" s="56"/>
      <c r="G473" s="62">
        <f>G474</f>
        <v>2981.7</v>
      </c>
      <c r="H473" s="336"/>
      <c r="I473" s="336"/>
      <c r="J473" s="336"/>
      <c r="K473" s="336"/>
      <c r="L473" s="336"/>
      <c r="M473" s="336"/>
      <c r="N473" s="336"/>
      <c r="O473" s="336"/>
      <c r="P473" s="336"/>
      <c r="Q473" s="337"/>
      <c r="R473" s="336"/>
      <c r="S473" s="336"/>
      <c r="T473" s="336"/>
      <c r="U473" s="336"/>
      <c r="V473" s="336"/>
      <c r="W473" s="336"/>
      <c r="X473" s="336"/>
      <c r="Y473" s="336"/>
      <c r="Z473" s="336"/>
    </row>
    <row r="474" spans="1:26" s="307" customFormat="1" ht="31.5">
      <c r="A474" s="163" t="s">
        <v>190</v>
      </c>
      <c r="B474" s="51"/>
      <c r="C474" s="48" t="s">
        <v>129</v>
      </c>
      <c r="D474" s="48" t="s">
        <v>168</v>
      </c>
      <c r="E474" s="49" t="s">
        <v>242</v>
      </c>
      <c r="F474" s="56" t="s">
        <v>178</v>
      </c>
      <c r="G474" s="62">
        <f>SUM(G475:G475)</f>
        <v>2981.7</v>
      </c>
      <c r="H474" s="336"/>
      <c r="I474" s="336"/>
      <c r="J474" s="336"/>
      <c r="K474" s="336"/>
      <c r="L474" s="336"/>
      <c r="M474" s="336"/>
      <c r="N474" s="336"/>
      <c r="O474" s="336"/>
      <c r="P474" s="336"/>
      <c r="Q474" s="337"/>
      <c r="R474" s="336"/>
      <c r="S474" s="336"/>
      <c r="T474" s="336"/>
      <c r="U474" s="336"/>
      <c r="V474" s="336"/>
      <c r="W474" s="336"/>
      <c r="X474" s="336"/>
      <c r="Y474" s="336"/>
      <c r="Z474" s="336"/>
    </row>
    <row r="475" spans="1:26" s="307" customFormat="1" ht="15.75">
      <c r="A475" s="253" t="s">
        <v>191</v>
      </c>
      <c r="B475" s="51"/>
      <c r="C475" s="48" t="s">
        <v>129</v>
      </c>
      <c r="D475" s="48" t="s">
        <v>168</v>
      </c>
      <c r="E475" s="49" t="s">
        <v>242</v>
      </c>
      <c r="F475" s="56" t="s">
        <v>192</v>
      </c>
      <c r="G475" s="62">
        <v>2981.7</v>
      </c>
      <c r="H475" s="336"/>
      <c r="I475" s="336"/>
      <c r="J475" s="336"/>
      <c r="K475" s="336"/>
      <c r="L475" s="336"/>
      <c r="M475" s="336"/>
      <c r="N475" s="336"/>
      <c r="O475" s="336"/>
      <c r="P475" s="336"/>
      <c r="Q475" s="337"/>
      <c r="R475" s="336"/>
      <c r="S475" s="336"/>
      <c r="T475" s="336"/>
      <c r="U475" s="336"/>
      <c r="V475" s="336"/>
      <c r="W475" s="336"/>
      <c r="X475" s="336"/>
      <c r="Y475" s="336"/>
      <c r="Z475" s="336"/>
    </row>
    <row r="476" spans="1:26" s="307" customFormat="1" ht="31.5">
      <c r="A476" s="271" t="s">
        <v>551</v>
      </c>
      <c r="B476" s="51"/>
      <c r="C476" s="45" t="s">
        <v>129</v>
      </c>
      <c r="D476" s="45" t="s">
        <v>168</v>
      </c>
      <c r="E476" s="52" t="s">
        <v>239</v>
      </c>
      <c r="F476" s="57"/>
      <c r="G476" s="68">
        <f>G477+G480+G483</f>
        <v>1050</v>
      </c>
      <c r="H476" s="336"/>
      <c r="I476" s="336"/>
      <c r="J476" s="336"/>
      <c r="K476" s="336"/>
      <c r="L476" s="336"/>
      <c r="M476" s="336"/>
      <c r="N476" s="336"/>
      <c r="O476" s="336"/>
      <c r="P476" s="336"/>
      <c r="Q476" s="337"/>
      <c r="R476" s="336"/>
      <c r="S476" s="336"/>
      <c r="T476" s="336"/>
      <c r="U476" s="336"/>
      <c r="V476" s="336"/>
      <c r="W476" s="336"/>
      <c r="X476" s="336"/>
      <c r="Y476" s="336"/>
      <c r="Z476" s="336"/>
    </row>
    <row r="477" spans="1:26" s="307" customFormat="1" ht="15.75">
      <c r="A477" s="253" t="s">
        <v>266</v>
      </c>
      <c r="B477" s="47"/>
      <c r="C477" s="48" t="s">
        <v>129</v>
      </c>
      <c r="D477" s="48" t="s">
        <v>168</v>
      </c>
      <c r="E477" s="49" t="s">
        <v>284</v>
      </c>
      <c r="F477" s="56"/>
      <c r="G477" s="62">
        <f>G478</f>
        <v>500</v>
      </c>
      <c r="H477" s="336"/>
      <c r="I477" s="336"/>
      <c r="J477" s="336"/>
      <c r="K477" s="336"/>
      <c r="L477" s="336"/>
      <c r="M477" s="336"/>
      <c r="N477" s="336"/>
      <c r="O477" s="336"/>
      <c r="P477" s="336"/>
      <c r="Q477" s="337"/>
      <c r="R477" s="336"/>
      <c r="S477" s="336"/>
      <c r="T477" s="336"/>
      <c r="U477" s="336"/>
      <c r="V477" s="336"/>
      <c r="W477" s="336"/>
      <c r="X477" s="336"/>
      <c r="Y477" s="336"/>
      <c r="Z477" s="336"/>
    </row>
    <row r="478" spans="1:26" s="307" customFormat="1" ht="31.5">
      <c r="A478" s="163" t="s">
        <v>190</v>
      </c>
      <c r="B478" s="47"/>
      <c r="C478" s="48" t="s">
        <v>129</v>
      </c>
      <c r="D478" s="48" t="s">
        <v>168</v>
      </c>
      <c r="E478" s="49" t="s">
        <v>284</v>
      </c>
      <c r="F478" s="56" t="s">
        <v>178</v>
      </c>
      <c r="G478" s="62">
        <f>G479</f>
        <v>500</v>
      </c>
      <c r="H478" s="336"/>
      <c r="I478" s="336"/>
      <c r="J478" s="336"/>
      <c r="K478" s="336"/>
      <c r="L478" s="336"/>
      <c r="M478" s="336"/>
      <c r="N478" s="336"/>
      <c r="O478" s="336"/>
      <c r="P478" s="336"/>
      <c r="Q478" s="337"/>
      <c r="R478" s="346">
        <f>G478+G686+G804</f>
        <v>7706.5</v>
      </c>
      <c r="S478" s="336"/>
      <c r="T478" s="336"/>
      <c r="U478" s="336"/>
      <c r="V478" s="336"/>
      <c r="W478" s="336"/>
      <c r="X478" s="336"/>
      <c r="Y478" s="336"/>
      <c r="Z478" s="336"/>
    </row>
    <row r="479" spans="1:26" s="307" customFormat="1" ht="15.75">
      <c r="A479" s="253" t="s">
        <v>197</v>
      </c>
      <c r="B479" s="47"/>
      <c r="C479" s="48" t="s">
        <v>129</v>
      </c>
      <c r="D479" s="48" t="s">
        <v>168</v>
      </c>
      <c r="E479" s="49" t="s">
        <v>284</v>
      </c>
      <c r="F479" s="56" t="s">
        <v>196</v>
      </c>
      <c r="G479" s="62">
        <v>500</v>
      </c>
      <c r="H479" s="336"/>
      <c r="I479" s="336"/>
      <c r="J479" s="336"/>
      <c r="K479" s="336"/>
      <c r="L479" s="336"/>
      <c r="M479" s="336"/>
      <c r="N479" s="336"/>
      <c r="O479" s="336"/>
      <c r="P479" s="336"/>
      <c r="Q479" s="337"/>
      <c r="R479" s="336"/>
      <c r="S479" s="336"/>
      <c r="T479" s="336"/>
      <c r="U479" s="336"/>
      <c r="V479" s="336"/>
      <c r="W479" s="336"/>
      <c r="X479" s="336"/>
      <c r="Y479" s="336"/>
      <c r="Z479" s="336"/>
    </row>
    <row r="480" spans="1:26" s="307" customFormat="1" ht="15.75">
      <c r="A480" s="257" t="s">
        <v>268</v>
      </c>
      <c r="B480" s="47"/>
      <c r="C480" s="48" t="s">
        <v>129</v>
      </c>
      <c r="D480" s="48" t="s">
        <v>168</v>
      </c>
      <c r="E480" s="49" t="s">
        <v>283</v>
      </c>
      <c r="F480" s="56"/>
      <c r="G480" s="62">
        <f>G481</f>
        <v>450</v>
      </c>
      <c r="H480" s="336"/>
      <c r="I480" s="336"/>
      <c r="J480" s="336"/>
      <c r="K480" s="336"/>
      <c r="L480" s="336"/>
      <c r="M480" s="336"/>
      <c r="N480" s="336"/>
      <c r="O480" s="336"/>
      <c r="P480" s="336"/>
      <c r="Q480" s="337"/>
      <c r="R480" s="336"/>
      <c r="S480" s="336"/>
      <c r="T480" s="336"/>
      <c r="U480" s="336"/>
      <c r="V480" s="336"/>
      <c r="W480" s="336"/>
      <c r="X480" s="336"/>
      <c r="Y480" s="336"/>
      <c r="Z480" s="336"/>
    </row>
    <row r="481" spans="1:26" s="307" customFormat="1" ht="31.5">
      <c r="A481" s="163" t="s">
        <v>190</v>
      </c>
      <c r="B481" s="47"/>
      <c r="C481" s="48" t="s">
        <v>129</v>
      </c>
      <c r="D481" s="48" t="s">
        <v>168</v>
      </c>
      <c r="E481" s="49" t="s">
        <v>283</v>
      </c>
      <c r="F481" s="56" t="s">
        <v>178</v>
      </c>
      <c r="G481" s="62">
        <f>G482</f>
        <v>450</v>
      </c>
      <c r="H481" s="336"/>
      <c r="I481" s="336"/>
      <c r="J481" s="336"/>
      <c r="K481" s="336"/>
      <c r="L481" s="336"/>
      <c r="M481" s="336"/>
      <c r="N481" s="336"/>
      <c r="O481" s="336"/>
      <c r="P481" s="336"/>
      <c r="Q481" s="337"/>
      <c r="R481" s="336"/>
      <c r="S481" s="336"/>
      <c r="T481" s="336"/>
      <c r="U481" s="336"/>
      <c r="V481" s="336"/>
      <c r="W481" s="336"/>
      <c r="X481" s="336"/>
      <c r="Y481" s="336"/>
      <c r="Z481" s="336"/>
    </row>
    <row r="482" spans="1:26" s="307" customFormat="1" ht="15.75">
      <c r="A482" s="253" t="s">
        <v>197</v>
      </c>
      <c r="B482" s="47"/>
      <c r="C482" s="48" t="s">
        <v>129</v>
      </c>
      <c r="D482" s="48" t="s">
        <v>168</v>
      </c>
      <c r="E482" s="49" t="s">
        <v>283</v>
      </c>
      <c r="F482" s="56" t="s">
        <v>196</v>
      </c>
      <c r="G482" s="62">
        <v>450</v>
      </c>
      <c r="H482" s="336"/>
      <c r="I482" s="336"/>
      <c r="J482" s="336"/>
      <c r="K482" s="336"/>
      <c r="L482" s="336"/>
      <c r="M482" s="336"/>
      <c r="N482" s="336"/>
      <c r="O482" s="336"/>
      <c r="P482" s="336"/>
      <c r="Q482" s="337"/>
      <c r="R482" s="336"/>
      <c r="S482" s="336"/>
      <c r="T482" s="336"/>
      <c r="U482" s="336"/>
      <c r="V482" s="336"/>
      <c r="W482" s="336"/>
      <c r="X482" s="336"/>
      <c r="Y482" s="336"/>
      <c r="Z482" s="336"/>
    </row>
    <row r="483" spans="1:26" s="307" customFormat="1" ht="15.75">
      <c r="A483" s="257" t="s">
        <v>269</v>
      </c>
      <c r="B483" s="47"/>
      <c r="C483" s="48" t="s">
        <v>129</v>
      </c>
      <c r="D483" s="48" t="s">
        <v>168</v>
      </c>
      <c r="E483" s="49" t="s">
        <v>360</v>
      </c>
      <c r="F483" s="56"/>
      <c r="G483" s="62">
        <f>G484</f>
        <v>100</v>
      </c>
      <c r="H483" s="336"/>
      <c r="I483" s="336"/>
      <c r="J483" s="336"/>
      <c r="K483" s="336"/>
      <c r="L483" s="336"/>
      <c r="M483" s="336"/>
      <c r="N483" s="336"/>
      <c r="O483" s="336"/>
      <c r="P483" s="336"/>
      <c r="Q483" s="337"/>
      <c r="R483" s="336"/>
      <c r="S483" s="336"/>
      <c r="T483" s="336"/>
      <c r="U483" s="336"/>
      <c r="V483" s="336"/>
      <c r="W483" s="336"/>
      <c r="X483" s="336"/>
      <c r="Y483" s="336"/>
      <c r="Z483" s="336"/>
    </row>
    <row r="484" spans="1:26" s="307" customFormat="1" ht="31.5">
      <c r="A484" s="163" t="s">
        <v>190</v>
      </c>
      <c r="B484" s="47"/>
      <c r="C484" s="48" t="s">
        <v>129</v>
      </c>
      <c r="D484" s="48" t="s">
        <v>168</v>
      </c>
      <c r="E484" s="49" t="s">
        <v>360</v>
      </c>
      <c r="F484" s="56" t="s">
        <v>178</v>
      </c>
      <c r="G484" s="62">
        <f>G485</f>
        <v>100</v>
      </c>
      <c r="H484" s="336"/>
      <c r="I484" s="336"/>
      <c r="J484" s="336"/>
      <c r="K484" s="336"/>
      <c r="L484" s="336"/>
      <c r="M484" s="336"/>
      <c r="N484" s="336"/>
      <c r="O484" s="336"/>
      <c r="P484" s="336"/>
      <c r="Q484" s="337"/>
      <c r="R484" s="336"/>
      <c r="S484" s="336"/>
      <c r="T484" s="336"/>
      <c r="U484" s="336"/>
      <c r="V484" s="336"/>
      <c r="W484" s="336"/>
      <c r="X484" s="336"/>
      <c r="Y484" s="336"/>
      <c r="Z484" s="336"/>
    </row>
    <row r="485" spans="1:26" s="307" customFormat="1" ht="15.75">
      <c r="A485" s="253" t="s">
        <v>197</v>
      </c>
      <c r="B485" s="47"/>
      <c r="C485" s="48" t="s">
        <v>129</v>
      </c>
      <c r="D485" s="48" t="s">
        <v>168</v>
      </c>
      <c r="E485" s="49" t="s">
        <v>360</v>
      </c>
      <c r="F485" s="56" t="s">
        <v>196</v>
      </c>
      <c r="G485" s="62">
        <v>100</v>
      </c>
      <c r="H485" s="336"/>
      <c r="I485" s="336"/>
      <c r="J485" s="336"/>
      <c r="K485" s="336"/>
      <c r="L485" s="336"/>
      <c r="M485" s="336"/>
      <c r="N485" s="336"/>
      <c r="O485" s="336"/>
      <c r="P485" s="336"/>
      <c r="Q485" s="337"/>
      <c r="R485" s="336"/>
      <c r="S485" s="336"/>
      <c r="T485" s="336"/>
      <c r="U485" s="336"/>
      <c r="V485" s="336"/>
      <c r="W485" s="336"/>
      <c r="X485" s="336"/>
      <c r="Y485" s="336"/>
      <c r="Z485" s="336"/>
    </row>
    <row r="486" spans="1:26" s="307" customFormat="1" ht="15.75">
      <c r="A486" s="234" t="s">
        <v>155</v>
      </c>
      <c r="B486" s="47"/>
      <c r="C486" s="45" t="s">
        <v>127</v>
      </c>
      <c r="D486" s="48"/>
      <c r="E486" s="49"/>
      <c r="F486" s="56"/>
      <c r="G486" s="58">
        <f>G487</f>
        <v>29705.888</v>
      </c>
      <c r="H486" s="336"/>
      <c r="I486" s="336"/>
      <c r="J486" s="336"/>
      <c r="K486" s="336"/>
      <c r="L486" s="336"/>
      <c r="M486" s="336"/>
      <c r="N486" s="336"/>
      <c r="O486" s="336"/>
      <c r="P486" s="336"/>
      <c r="Q486" s="337"/>
      <c r="R486" s="336"/>
      <c r="S486" s="336"/>
      <c r="T486" s="336"/>
      <c r="U486" s="336"/>
      <c r="V486" s="336"/>
      <c r="W486" s="336"/>
      <c r="X486" s="336"/>
      <c r="Y486" s="336"/>
      <c r="Z486" s="336"/>
    </row>
    <row r="487" spans="1:26" s="307" customFormat="1" ht="15.75">
      <c r="A487" s="234" t="s">
        <v>159</v>
      </c>
      <c r="B487" s="45"/>
      <c r="C487" s="45" t="s">
        <v>127</v>
      </c>
      <c r="D487" s="45" t="s">
        <v>170</v>
      </c>
      <c r="E487" s="52"/>
      <c r="F487" s="57"/>
      <c r="G487" s="58">
        <f>G488</f>
        <v>29705.888</v>
      </c>
      <c r="H487" s="336"/>
      <c r="I487" s="336"/>
      <c r="J487" s="336"/>
      <c r="K487" s="336"/>
      <c r="L487" s="336"/>
      <c r="M487" s="336"/>
      <c r="N487" s="336"/>
      <c r="O487" s="336"/>
      <c r="P487" s="336"/>
      <c r="Q487" s="337"/>
      <c r="R487" s="336"/>
      <c r="S487" s="336"/>
      <c r="T487" s="336"/>
      <c r="U487" s="336"/>
      <c r="V487" s="336"/>
      <c r="W487" s="336"/>
      <c r="X487" s="336"/>
      <c r="Y487" s="336"/>
      <c r="Z487" s="336"/>
    </row>
    <row r="488" spans="1:26" s="307" customFormat="1" ht="15.75">
      <c r="A488" s="234" t="s">
        <v>465</v>
      </c>
      <c r="B488" s="54"/>
      <c r="C488" s="45" t="s">
        <v>127</v>
      </c>
      <c r="D488" s="45" t="s">
        <v>170</v>
      </c>
      <c r="E488" s="52" t="s">
        <v>11</v>
      </c>
      <c r="F488" s="57"/>
      <c r="G488" s="58">
        <f>G489+G496</f>
        <v>29705.888</v>
      </c>
      <c r="H488" s="336"/>
      <c r="I488" s="336"/>
      <c r="J488" s="336"/>
      <c r="K488" s="336"/>
      <c r="L488" s="336"/>
      <c r="M488" s="336"/>
      <c r="N488" s="336"/>
      <c r="O488" s="336"/>
      <c r="P488" s="336"/>
      <c r="Q488" s="337"/>
      <c r="R488" s="336"/>
      <c r="S488" s="336"/>
      <c r="T488" s="336"/>
      <c r="U488" s="336"/>
      <c r="V488" s="336"/>
      <c r="W488" s="336"/>
      <c r="X488" s="336"/>
      <c r="Y488" s="336"/>
      <c r="Z488" s="336"/>
    </row>
    <row r="489" spans="1:26" s="307" customFormat="1" ht="31.5">
      <c r="A489" s="234" t="s">
        <v>544</v>
      </c>
      <c r="B489" s="45"/>
      <c r="C489" s="45" t="s">
        <v>127</v>
      </c>
      <c r="D489" s="45" t="s">
        <v>170</v>
      </c>
      <c r="E489" s="52" t="s">
        <v>12</v>
      </c>
      <c r="F489" s="57"/>
      <c r="G489" s="58">
        <f>G490+G493</f>
        <v>8310.47</v>
      </c>
      <c r="H489" s="336"/>
      <c r="I489" s="336"/>
      <c r="J489" s="336"/>
      <c r="K489" s="336"/>
      <c r="L489" s="336"/>
      <c r="M489" s="336"/>
      <c r="N489" s="336"/>
      <c r="O489" s="336"/>
      <c r="P489" s="336"/>
      <c r="Q489" s="337"/>
      <c r="R489" s="336"/>
      <c r="S489" s="336"/>
      <c r="T489" s="336"/>
      <c r="U489" s="336"/>
      <c r="V489" s="336"/>
      <c r="W489" s="336"/>
      <c r="X489" s="336"/>
      <c r="Y489" s="336"/>
      <c r="Z489" s="336"/>
    </row>
    <row r="490" spans="1:26" s="307" customFormat="1" ht="220.5">
      <c r="A490" s="244" t="s">
        <v>686</v>
      </c>
      <c r="B490" s="45"/>
      <c r="C490" s="48" t="s">
        <v>127</v>
      </c>
      <c r="D490" s="48" t="s">
        <v>170</v>
      </c>
      <c r="E490" s="49" t="s">
        <v>687</v>
      </c>
      <c r="F490" s="57"/>
      <c r="G490" s="58">
        <f>G491</f>
        <v>229.77</v>
      </c>
      <c r="H490" s="336"/>
      <c r="I490" s="336"/>
      <c r="J490" s="336"/>
      <c r="K490" s="336"/>
      <c r="L490" s="336"/>
      <c r="M490" s="336"/>
      <c r="N490" s="336"/>
      <c r="O490" s="336"/>
      <c r="P490" s="336"/>
      <c r="Q490" s="337"/>
      <c r="R490" s="336"/>
      <c r="S490" s="336"/>
      <c r="T490" s="336"/>
      <c r="U490" s="336"/>
      <c r="V490" s="336"/>
      <c r="W490" s="336"/>
      <c r="X490" s="336"/>
      <c r="Y490" s="336"/>
      <c r="Z490" s="336"/>
    </row>
    <row r="491" spans="1:26" s="307" customFormat="1" ht="31.5">
      <c r="A491" s="260" t="s">
        <v>190</v>
      </c>
      <c r="B491" s="45"/>
      <c r="C491" s="48" t="s">
        <v>127</v>
      </c>
      <c r="D491" s="48" t="s">
        <v>170</v>
      </c>
      <c r="E491" s="49" t="s">
        <v>687</v>
      </c>
      <c r="F491" s="56" t="s">
        <v>178</v>
      </c>
      <c r="G491" s="62">
        <f>G492</f>
        <v>229.77</v>
      </c>
      <c r="H491" s="336"/>
      <c r="I491" s="336"/>
      <c r="J491" s="336"/>
      <c r="K491" s="336"/>
      <c r="L491" s="336"/>
      <c r="M491" s="336"/>
      <c r="N491" s="336"/>
      <c r="O491" s="336"/>
      <c r="P491" s="336"/>
      <c r="Q491" s="337"/>
      <c r="R491" s="336"/>
      <c r="S491" s="336"/>
      <c r="T491" s="336"/>
      <c r="U491" s="336"/>
      <c r="V491" s="336"/>
      <c r="W491" s="336"/>
      <c r="X491" s="336"/>
      <c r="Y491" s="336"/>
      <c r="Z491" s="336"/>
    </row>
    <row r="492" spans="1:26" s="307" customFormat="1" ht="15.75">
      <c r="A492" s="261" t="s">
        <v>191</v>
      </c>
      <c r="B492" s="45"/>
      <c r="C492" s="48" t="s">
        <v>127</v>
      </c>
      <c r="D492" s="48" t="s">
        <v>170</v>
      </c>
      <c r="E492" s="49" t="s">
        <v>687</v>
      </c>
      <c r="F492" s="56" t="s">
        <v>192</v>
      </c>
      <c r="G492" s="62">
        <v>229.77</v>
      </c>
      <c r="H492" s="336"/>
      <c r="I492" s="336"/>
      <c r="J492" s="336"/>
      <c r="K492" s="336"/>
      <c r="L492" s="336"/>
      <c r="M492" s="336"/>
      <c r="N492" s="336"/>
      <c r="O492" s="336"/>
      <c r="P492" s="336"/>
      <c r="Q492" s="337"/>
      <c r="R492" s="336"/>
      <c r="S492" s="336"/>
      <c r="T492" s="336"/>
      <c r="U492" s="336"/>
      <c r="V492" s="336"/>
      <c r="W492" s="336"/>
      <c r="X492" s="336"/>
      <c r="Y492" s="336"/>
      <c r="Z492" s="336"/>
    </row>
    <row r="493" spans="1:26" s="307" customFormat="1" ht="31.5">
      <c r="A493" s="257" t="s">
        <v>250</v>
      </c>
      <c r="B493" s="48"/>
      <c r="C493" s="48" t="s">
        <v>127</v>
      </c>
      <c r="D493" s="48" t="s">
        <v>170</v>
      </c>
      <c r="E493" s="49" t="s">
        <v>79</v>
      </c>
      <c r="F493" s="56"/>
      <c r="G493" s="62">
        <f>G494</f>
        <v>8080.7</v>
      </c>
      <c r="H493" s="336"/>
      <c r="I493" s="336"/>
      <c r="J493" s="336"/>
      <c r="K493" s="336"/>
      <c r="L493" s="336"/>
      <c r="M493" s="336"/>
      <c r="N493" s="336"/>
      <c r="O493" s="336"/>
      <c r="P493" s="336"/>
      <c r="Q493" s="337"/>
      <c r="R493" s="336"/>
      <c r="S493" s="336"/>
      <c r="T493" s="336"/>
      <c r="U493" s="336"/>
      <c r="V493" s="336"/>
      <c r="W493" s="336"/>
      <c r="X493" s="336"/>
      <c r="Y493" s="336"/>
      <c r="Z493" s="336"/>
    </row>
    <row r="494" spans="1:26" s="307" customFormat="1" ht="31.5">
      <c r="A494" s="163" t="s">
        <v>190</v>
      </c>
      <c r="B494" s="47"/>
      <c r="C494" s="48" t="s">
        <v>127</v>
      </c>
      <c r="D494" s="48" t="s">
        <v>170</v>
      </c>
      <c r="E494" s="49" t="s">
        <v>79</v>
      </c>
      <c r="F494" s="56" t="s">
        <v>178</v>
      </c>
      <c r="G494" s="62">
        <f>G495</f>
        <v>8080.7</v>
      </c>
      <c r="H494" s="336"/>
      <c r="I494" s="336"/>
      <c r="J494" s="336"/>
      <c r="K494" s="336"/>
      <c r="L494" s="336"/>
      <c r="M494" s="336"/>
      <c r="N494" s="336"/>
      <c r="O494" s="336"/>
      <c r="P494" s="336"/>
      <c r="Q494" s="336"/>
      <c r="R494" s="336"/>
      <c r="S494" s="336"/>
      <c r="T494" s="336"/>
      <c r="U494" s="336"/>
      <c r="V494" s="336"/>
      <c r="W494" s="336"/>
      <c r="X494" s="336"/>
      <c r="Y494" s="336"/>
      <c r="Z494" s="336"/>
    </row>
    <row r="495" spans="1:26" s="307" customFormat="1" ht="15.75">
      <c r="A495" s="253" t="s">
        <v>191</v>
      </c>
      <c r="B495" s="47"/>
      <c r="C495" s="48" t="s">
        <v>127</v>
      </c>
      <c r="D495" s="48" t="s">
        <v>170</v>
      </c>
      <c r="E495" s="49" t="s">
        <v>79</v>
      </c>
      <c r="F495" s="56" t="s">
        <v>192</v>
      </c>
      <c r="G495" s="62">
        <v>8080.7</v>
      </c>
      <c r="H495" s="336"/>
      <c r="I495" s="336"/>
      <c r="J495" s="336"/>
      <c r="K495" s="336"/>
      <c r="L495" s="336"/>
      <c r="M495" s="336"/>
      <c r="N495" s="336"/>
      <c r="O495" s="336"/>
      <c r="P495" s="336"/>
      <c r="Q495" s="336"/>
      <c r="R495" s="336"/>
      <c r="S495" s="336"/>
      <c r="T495" s="336"/>
      <c r="U495" s="336"/>
      <c r="V495" s="336"/>
      <c r="W495" s="336"/>
      <c r="X495" s="336"/>
      <c r="Y495" s="336"/>
      <c r="Z495" s="336"/>
    </row>
    <row r="496" spans="1:26" s="307" customFormat="1" ht="31.5">
      <c r="A496" s="234" t="s">
        <v>543</v>
      </c>
      <c r="B496" s="47"/>
      <c r="C496" s="48" t="s">
        <v>127</v>
      </c>
      <c r="D496" s="48" t="s">
        <v>170</v>
      </c>
      <c r="E496" s="52" t="s">
        <v>28</v>
      </c>
      <c r="F496" s="56"/>
      <c r="G496" s="58">
        <f>G497+G500+G509+G503+G506</f>
        <v>21395.418</v>
      </c>
      <c r="H496" s="336"/>
      <c r="I496" s="336"/>
      <c r="J496" s="336"/>
      <c r="K496" s="336"/>
      <c r="L496" s="336"/>
      <c r="M496" s="336"/>
      <c r="N496" s="336"/>
      <c r="O496" s="336"/>
      <c r="P496" s="336"/>
      <c r="Q496" s="336"/>
      <c r="R496" s="336"/>
      <c r="S496" s="336"/>
      <c r="T496" s="336"/>
      <c r="U496" s="336"/>
      <c r="V496" s="336"/>
      <c r="W496" s="336"/>
      <c r="X496" s="336"/>
      <c r="Y496" s="336"/>
      <c r="Z496" s="336"/>
    </row>
    <row r="497" spans="1:26" s="307" customFormat="1" ht="15.75">
      <c r="A497" s="257" t="s">
        <v>257</v>
      </c>
      <c r="B497" s="66"/>
      <c r="C497" s="48" t="s">
        <v>127</v>
      </c>
      <c r="D497" s="48" t="s">
        <v>170</v>
      </c>
      <c r="E497" s="49" t="s">
        <v>258</v>
      </c>
      <c r="F497" s="56"/>
      <c r="G497" s="62">
        <f>G498</f>
        <v>2333.5</v>
      </c>
      <c r="H497" s="336"/>
      <c r="I497" s="336"/>
      <c r="J497" s="336"/>
      <c r="K497" s="336"/>
      <c r="L497" s="336"/>
      <c r="M497" s="336"/>
      <c r="N497" s="336"/>
      <c r="O497" s="336"/>
      <c r="P497" s="336"/>
      <c r="Q497" s="337"/>
      <c r="R497" s="346" t="e">
        <f>G501+G509+G515+G521+G526+G529+G533+G540+G548+G551+G556+G563+G566+G569+#REF!+G572+G575+G578+G581+G584+G587+G590+G595+G602+G605+G608+G615+G618+G621+G624+G627+G630+G633+G636+G639+#REF!+G642+G645+G648+G651+G654+G657+#REF!+G675+G679+G683+G689+G696+G701+G707+G710+G713+G716+#REF!+G719+G722+#REF!+G728+G734+G737+G731</f>
        <v>#REF!</v>
      </c>
      <c r="S497" s="346" t="e">
        <f>R497-G497</f>
        <v>#REF!</v>
      </c>
      <c r="T497" s="336"/>
      <c r="U497" s="336"/>
      <c r="V497" s="336"/>
      <c r="W497" s="336"/>
      <c r="X497" s="336"/>
      <c r="Y497" s="336"/>
      <c r="Z497" s="336"/>
    </row>
    <row r="498" spans="1:26" s="307" customFormat="1" ht="31.5">
      <c r="A498" s="163" t="s">
        <v>190</v>
      </c>
      <c r="B498" s="66"/>
      <c r="C498" s="48" t="s">
        <v>127</v>
      </c>
      <c r="D498" s="48" t="s">
        <v>170</v>
      </c>
      <c r="E498" s="49" t="s">
        <v>258</v>
      </c>
      <c r="F498" s="56" t="s">
        <v>178</v>
      </c>
      <c r="G498" s="62">
        <f>G499</f>
        <v>2333.5</v>
      </c>
      <c r="H498" s="336"/>
      <c r="I498" s="336"/>
      <c r="J498" s="336"/>
      <c r="K498" s="336"/>
      <c r="L498" s="336"/>
      <c r="M498" s="336"/>
      <c r="N498" s="336"/>
      <c r="O498" s="336"/>
      <c r="P498" s="336"/>
      <c r="Q498" s="337"/>
      <c r="R498" s="336"/>
      <c r="S498" s="336"/>
      <c r="T498" s="336"/>
      <c r="U498" s="336"/>
      <c r="V498" s="336"/>
      <c r="W498" s="336"/>
      <c r="X498" s="336"/>
      <c r="Y498" s="336"/>
      <c r="Z498" s="336"/>
    </row>
    <row r="499" spans="1:26" s="307" customFormat="1" ht="15.75">
      <c r="A499" s="253" t="s">
        <v>191</v>
      </c>
      <c r="B499" s="66"/>
      <c r="C499" s="48" t="s">
        <v>127</v>
      </c>
      <c r="D499" s="48" t="s">
        <v>170</v>
      </c>
      <c r="E499" s="49" t="s">
        <v>258</v>
      </c>
      <c r="F499" s="56" t="s">
        <v>192</v>
      </c>
      <c r="G499" s="62">
        <v>2333.5</v>
      </c>
      <c r="H499" s="336"/>
      <c r="I499" s="336"/>
      <c r="J499" s="336"/>
      <c r="K499" s="336"/>
      <c r="L499" s="336"/>
      <c r="M499" s="336"/>
      <c r="N499" s="336"/>
      <c r="O499" s="336"/>
      <c r="P499" s="336"/>
      <c r="Q499" s="337"/>
      <c r="R499" s="336"/>
      <c r="S499" s="336"/>
      <c r="T499" s="336"/>
      <c r="U499" s="336"/>
      <c r="V499" s="336"/>
      <c r="W499" s="336"/>
      <c r="X499" s="336"/>
      <c r="Y499" s="336"/>
      <c r="Z499" s="336"/>
    </row>
    <row r="500" spans="1:7" ht="220.5">
      <c r="A500" s="244" t="s">
        <v>686</v>
      </c>
      <c r="B500" s="45"/>
      <c r="C500" s="48" t="s">
        <v>127</v>
      </c>
      <c r="D500" s="48" t="s">
        <v>170</v>
      </c>
      <c r="E500" s="49" t="s">
        <v>688</v>
      </c>
      <c r="F500" s="56"/>
      <c r="G500" s="58">
        <f>G501</f>
        <v>338.5</v>
      </c>
    </row>
    <row r="501" spans="1:7" ht="31.5">
      <c r="A501" s="260" t="s">
        <v>190</v>
      </c>
      <c r="B501" s="45"/>
      <c r="C501" s="48" t="s">
        <v>127</v>
      </c>
      <c r="D501" s="48" t="s">
        <v>170</v>
      </c>
      <c r="E501" s="49" t="s">
        <v>688</v>
      </c>
      <c r="F501" s="56" t="s">
        <v>178</v>
      </c>
      <c r="G501" s="62">
        <f>G502</f>
        <v>338.5</v>
      </c>
    </row>
    <row r="502" spans="1:7" ht="15.75">
      <c r="A502" s="261" t="s">
        <v>191</v>
      </c>
      <c r="B502" s="45"/>
      <c r="C502" s="48" t="s">
        <v>127</v>
      </c>
      <c r="D502" s="48" t="s">
        <v>170</v>
      </c>
      <c r="E502" s="49" t="s">
        <v>688</v>
      </c>
      <c r="F502" s="56" t="s">
        <v>192</v>
      </c>
      <c r="G502" s="62">
        <v>338.5</v>
      </c>
    </row>
    <row r="503" spans="1:7" ht="47.25">
      <c r="A503" s="274" t="s">
        <v>464</v>
      </c>
      <c r="B503" s="47"/>
      <c r="C503" s="48" t="s">
        <v>127</v>
      </c>
      <c r="D503" s="48" t="s">
        <v>170</v>
      </c>
      <c r="E503" s="49" t="s">
        <v>416</v>
      </c>
      <c r="F503" s="56"/>
      <c r="G503" s="62">
        <f>G504</f>
        <v>17919.485</v>
      </c>
    </row>
    <row r="504" spans="1:7" ht="31.5">
      <c r="A504" s="163" t="s">
        <v>263</v>
      </c>
      <c r="B504" s="47"/>
      <c r="C504" s="48" t="s">
        <v>127</v>
      </c>
      <c r="D504" s="48" t="s">
        <v>170</v>
      </c>
      <c r="E504" s="49" t="s">
        <v>416</v>
      </c>
      <c r="F504" s="56" t="s">
        <v>178</v>
      </c>
      <c r="G504" s="62">
        <f>G505</f>
        <v>17919.485</v>
      </c>
    </row>
    <row r="505" spans="1:7" ht="15.75">
      <c r="A505" s="253" t="s">
        <v>191</v>
      </c>
      <c r="B505" s="47"/>
      <c r="C505" s="48" t="s">
        <v>127</v>
      </c>
      <c r="D505" s="48" t="s">
        <v>170</v>
      </c>
      <c r="E505" s="49" t="s">
        <v>416</v>
      </c>
      <c r="F505" s="56" t="s">
        <v>192</v>
      </c>
      <c r="G505" s="62">
        <v>17919.485</v>
      </c>
    </row>
    <row r="506" spans="1:7" ht="47.25">
      <c r="A506" s="274" t="s">
        <v>339</v>
      </c>
      <c r="B506" s="47"/>
      <c r="C506" s="48" t="s">
        <v>127</v>
      </c>
      <c r="D506" s="48" t="s">
        <v>170</v>
      </c>
      <c r="E506" s="49" t="s">
        <v>338</v>
      </c>
      <c r="F506" s="56"/>
      <c r="G506" s="62">
        <f>G507</f>
        <v>16.373</v>
      </c>
    </row>
    <row r="507" spans="1:7" ht="31.5" customHeight="1">
      <c r="A507" s="163" t="s">
        <v>263</v>
      </c>
      <c r="B507" s="47"/>
      <c r="C507" s="48" t="s">
        <v>127</v>
      </c>
      <c r="D507" s="48" t="s">
        <v>170</v>
      </c>
      <c r="E507" s="49" t="s">
        <v>338</v>
      </c>
      <c r="F507" s="56" t="s">
        <v>178</v>
      </c>
      <c r="G507" s="62">
        <f>G508</f>
        <v>16.373</v>
      </c>
    </row>
    <row r="508" spans="1:7" ht="15.75">
      <c r="A508" s="253" t="s">
        <v>191</v>
      </c>
      <c r="B508" s="47"/>
      <c r="C508" s="48" t="s">
        <v>127</v>
      </c>
      <c r="D508" s="48" t="s">
        <v>170</v>
      </c>
      <c r="E508" s="49" t="s">
        <v>338</v>
      </c>
      <c r="F508" s="56" t="s">
        <v>192</v>
      </c>
      <c r="G508" s="62">
        <v>16.373</v>
      </c>
    </row>
    <row r="509" spans="1:7" ht="47.25">
      <c r="A509" s="274" t="s">
        <v>251</v>
      </c>
      <c r="B509" s="47"/>
      <c r="C509" s="48" t="s">
        <v>127</v>
      </c>
      <c r="D509" s="48" t="s">
        <v>170</v>
      </c>
      <c r="E509" s="49" t="s">
        <v>259</v>
      </c>
      <c r="F509" s="56"/>
      <c r="G509" s="62">
        <f>G510</f>
        <v>787.56</v>
      </c>
    </row>
    <row r="510" spans="1:7" ht="31.5">
      <c r="A510" s="163" t="s">
        <v>190</v>
      </c>
      <c r="B510" s="47"/>
      <c r="C510" s="48" t="s">
        <v>127</v>
      </c>
      <c r="D510" s="48" t="s">
        <v>170</v>
      </c>
      <c r="E510" s="49" t="s">
        <v>259</v>
      </c>
      <c r="F510" s="56" t="s">
        <v>178</v>
      </c>
      <c r="G510" s="62">
        <f>G511</f>
        <v>787.56</v>
      </c>
    </row>
    <row r="511" spans="1:7" ht="15.75">
      <c r="A511" s="253" t="s">
        <v>191</v>
      </c>
      <c r="B511" s="47"/>
      <c r="C511" s="48" t="s">
        <v>127</v>
      </c>
      <c r="D511" s="48" t="s">
        <v>170</v>
      </c>
      <c r="E511" s="49" t="s">
        <v>259</v>
      </c>
      <c r="F511" s="56" t="s">
        <v>192</v>
      </c>
      <c r="G511" s="62">
        <v>787.56</v>
      </c>
    </row>
    <row r="512" spans="1:26" s="307" customFormat="1" ht="31.5">
      <c r="A512" s="254" t="s">
        <v>523</v>
      </c>
      <c r="B512" s="111" t="s">
        <v>291</v>
      </c>
      <c r="C512" s="205"/>
      <c r="D512" s="205"/>
      <c r="E512" s="206"/>
      <c r="F512" s="207"/>
      <c r="G512" s="314">
        <f>G513+G551+G574+G626+G686+G707</f>
        <v>404948.253</v>
      </c>
      <c r="H512" s="336"/>
      <c r="I512" s="336"/>
      <c r="J512" s="336"/>
      <c r="K512" s="336"/>
      <c r="L512" s="336"/>
      <c r="M512" s="336"/>
      <c r="N512" s="336"/>
      <c r="O512" s="336"/>
      <c r="P512" s="336"/>
      <c r="Q512" s="337"/>
      <c r="R512" s="336"/>
      <c r="S512" s="336"/>
      <c r="T512" s="336"/>
      <c r="U512" s="336"/>
      <c r="V512" s="336"/>
      <c r="W512" s="336"/>
      <c r="X512" s="336"/>
      <c r="Y512" s="336"/>
      <c r="Z512" s="336"/>
    </row>
    <row r="513" spans="1:26" s="307" customFormat="1" ht="15.75">
      <c r="A513" s="286" t="s">
        <v>131</v>
      </c>
      <c r="B513" s="97"/>
      <c r="C513" s="45" t="s">
        <v>157</v>
      </c>
      <c r="D513" s="45"/>
      <c r="E513" s="229"/>
      <c r="F513" s="230"/>
      <c r="G513" s="58">
        <f>G514+G521</f>
        <v>11368</v>
      </c>
      <c r="H513" s="336"/>
      <c r="I513" s="336"/>
      <c r="J513" s="336"/>
      <c r="K513" s="336"/>
      <c r="L513" s="336"/>
      <c r="M513" s="336"/>
      <c r="N513" s="336"/>
      <c r="O513" s="336"/>
      <c r="P513" s="336"/>
      <c r="Q513" s="337"/>
      <c r="R513" s="336"/>
      <c r="S513" s="336"/>
      <c r="T513" s="336"/>
      <c r="U513" s="336"/>
      <c r="V513" s="336"/>
      <c r="W513" s="336"/>
      <c r="X513" s="336"/>
      <c r="Y513" s="336"/>
      <c r="Z513" s="336"/>
    </row>
    <row r="514" spans="1:26" s="307" customFormat="1" ht="31.5">
      <c r="A514" s="252" t="s">
        <v>141</v>
      </c>
      <c r="B514" s="97"/>
      <c r="C514" s="45" t="s">
        <v>157</v>
      </c>
      <c r="D514" s="45" t="s">
        <v>170</v>
      </c>
      <c r="E514" s="229"/>
      <c r="F514" s="230"/>
      <c r="G514" s="58">
        <f>G515</f>
        <v>10234.4</v>
      </c>
      <c r="H514" s="336"/>
      <c r="I514" s="336"/>
      <c r="J514" s="336"/>
      <c r="K514" s="336"/>
      <c r="L514" s="336"/>
      <c r="M514" s="336"/>
      <c r="N514" s="336"/>
      <c r="O514" s="336"/>
      <c r="P514" s="336"/>
      <c r="Q514" s="337"/>
      <c r="R514" s="336"/>
      <c r="S514" s="336"/>
      <c r="T514" s="336"/>
      <c r="U514" s="336"/>
      <c r="V514" s="336"/>
      <c r="W514" s="336"/>
      <c r="X514" s="336"/>
      <c r="Y514" s="336"/>
      <c r="Z514" s="336"/>
    </row>
    <row r="515" spans="1:26" s="307" customFormat="1" ht="31.5">
      <c r="A515" s="234" t="s">
        <v>490</v>
      </c>
      <c r="B515" s="97"/>
      <c r="C515" s="45" t="s">
        <v>157</v>
      </c>
      <c r="D515" s="45" t="s">
        <v>170</v>
      </c>
      <c r="E515" s="52" t="s">
        <v>362</v>
      </c>
      <c r="F515" s="231"/>
      <c r="G515" s="58">
        <f>G516</f>
        <v>10234.4</v>
      </c>
      <c r="H515" s="336"/>
      <c r="I515" s="336"/>
      <c r="J515" s="336"/>
      <c r="K515" s="336"/>
      <c r="L515" s="336"/>
      <c r="M515" s="336"/>
      <c r="N515" s="336"/>
      <c r="O515" s="336"/>
      <c r="P515" s="336"/>
      <c r="Q515" s="337"/>
      <c r="R515" s="336"/>
      <c r="S515" s="336"/>
      <c r="T515" s="336"/>
      <c r="U515" s="336"/>
      <c r="V515" s="336"/>
      <c r="W515" s="336"/>
      <c r="X515" s="336"/>
      <c r="Y515" s="336"/>
      <c r="Z515" s="336"/>
    </row>
    <row r="516" spans="1:26" s="307" customFormat="1" ht="15.75">
      <c r="A516" s="235" t="s">
        <v>115</v>
      </c>
      <c r="B516" s="92"/>
      <c r="C516" s="48" t="s">
        <v>157</v>
      </c>
      <c r="D516" s="48" t="s">
        <v>170</v>
      </c>
      <c r="E516" s="49" t="s">
        <v>363</v>
      </c>
      <c r="F516" s="56"/>
      <c r="G516" s="62">
        <f>G517+G519</f>
        <v>10234.4</v>
      </c>
      <c r="H516" s="336"/>
      <c r="I516" s="336"/>
      <c r="J516" s="336"/>
      <c r="K516" s="336"/>
      <c r="L516" s="336"/>
      <c r="M516" s="336"/>
      <c r="N516" s="336"/>
      <c r="O516" s="336"/>
      <c r="P516" s="336"/>
      <c r="Q516" s="337"/>
      <c r="R516" s="336"/>
      <c r="S516" s="336"/>
      <c r="T516" s="336"/>
      <c r="U516" s="336"/>
      <c r="V516" s="336"/>
      <c r="W516" s="336"/>
      <c r="X516" s="336"/>
      <c r="Y516" s="336"/>
      <c r="Z516" s="336"/>
    </row>
    <row r="517" spans="1:26" s="307" customFormat="1" ht="47.25">
      <c r="A517" s="237" t="s">
        <v>116</v>
      </c>
      <c r="B517" s="92"/>
      <c r="C517" s="48" t="s">
        <v>157</v>
      </c>
      <c r="D517" s="48" t="s">
        <v>170</v>
      </c>
      <c r="E517" s="49" t="s">
        <v>363</v>
      </c>
      <c r="F517" s="56" t="s">
        <v>198</v>
      </c>
      <c r="G517" s="62">
        <f>G518</f>
        <v>9958.9</v>
      </c>
      <c r="H517" s="336"/>
      <c r="I517" s="336"/>
      <c r="J517" s="336"/>
      <c r="K517" s="336"/>
      <c r="L517" s="336"/>
      <c r="M517" s="336"/>
      <c r="N517" s="336"/>
      <c r="O517" s="336"/>
      <c r="P517" s="336"/>
      <c r="Q517" s="337"/>
      <c r="R517" s="336"/>
      <c r="S517" s="336"/>
      <c r="T517" s="336"/>
      <c r="U517" s="336"/>
      <c r="V517" s="336"/>
      <c r="W517" s="336"/>
      <c r="X517" s="336"/>
      <c r="Y517" s="336"/>
      <c r="Z517" s="336"/>
    </row>
    <row r="518" spans="1:26" s="307" customFormat="1" ht="15.75">
      <c r="A518" s="237" t="s">
        <v>193</v>
      </c>
      <c r="B518" s="92"/>
      <c r="C518" s="48" t="s">
        <v>157</v>
      </c>
      <c r="D518" s="48" t="s">
        <v>170</v>
      </c>
      <c r="E518" s="49" t="s">
        <v>363</v>
      </c>
      <c r="F518" s="56" t="s">
        <v>194</v>
      </c>
      <c r="G518" s="62">
        <f>9795.6+163.3</f>
        <v>9958.9</v>
      </c>
      <c r="H518" s="336"/>
      <c r="I518" s="336"/>
      <c r="J518" s="336"/>
      <c r="K518" s="336"/>
      <c r="L518" s="336"/>
      <c r="M518" s="336"/>
      <c r="N518" s="336"/>
      <c r="O518" s="336"/>
      <c r="P518" s="336"/>
      <c r="Q518" s="337"/>
      <c r="R518" s="336"/>
      <c r="S518" s="336"/>
      <c r="T518" s="336"/>
      <c r="U518" s="336"/>
      <c r="V518" s="336"/>
      <c r="W518" s="336"/>
      <c r="X518" s="336"/>
      <c r="Y518" s="336"/>
      <c r="Z518" s="336"/>
    </row>
    <row r="519" spans="1:26" s="307" customFormat="1" ht="15.75">
      <c r="A519" s="237" t="s">
        <v>226</v>
      </c>
      <c r="B519" s="92"/>
      <c r="C519" s="48" t="s">
        <v>157</v>
      </c>
      <c r="D519" s="48" t="s">
        <v>170</v>
      </c>
      <c r="E519" s="49" t="s">
        <v>363</v>
      </c>
      <c r="F519" s="56" t="s">
        <v>188</v>
      </c>
      <c r="G519" s="62">
        <f>G520</f>
        <v>275.5</v>
      </c>
      <c r="H519" s="336"/>
      <c r="I519" s="336"/>
      <c r="J519" s="336"/>
      <c r="K519" s="336"/>
      <c r="L519" s="336"/>
      <c r="M519" s="336"/>
      <c r="N519" s="336"/>
      <c r="O519" s="336"/>
      <c r="P519" s="336"/>
      <c r="Q519" s="337"/>
      <c r="R519" s="336"/>
      <c r="S519" s="336"/>
      <c r="T519" s="336"/>
      <c r="U519" s="336"/>
      <c r="V519" s="336"/>
      <c r="W519" s="336"/>
      <c r="X519" s="336"/>
      <c r="Y519" s="336"/>
      <c r="Z519" s="336"/>
    </row>
    <row r="520" spans="1:26" s="307" customFormat="1" ht="15.75">
      <c r="A520" s="237" t="s">
        <v>189</v>
      </c>
      <c r="B520" s="92"/>
      <c r="C520" s="48" t="s">
        <v>157</v>
      </c>
      <c r="D520" s="48" t="s">
        <v>170</v>
      </c>
      <c r="E520" s="49" t="s">
        <v>363</v>
      </c>
      <c r="F520" s="56" t="s">
        <v>187</v>
      </c>
      <c r="G520" s="62">
        <v>275.5</v>
      </c>
      <c r="H520" s="336"/>
      <c r="I520" s="336"/>
      <c r="J520" s="336"/>
      <c r="K520" s="336"/>
      <c r="L520" s="336"/>
      <c r="M520" s="336"/>
      <c r="N520" s="336"/>
      <c r="O520" s="336"/>
      <c r="P520" s="336"/>
      <c r="Q520" s="337"/>
      <c r="R520" s="336"/>
      <c r="S520" s="336"/>
      <c r="T520" s="336"/>
      <c r="U520" s="336"/>
      <c r="V520" s="336"/>
      <c r="W520" s="336"/>
      <c r="X520" s="336"/>
      <c r="Y520" s="336"/>
      <c r="Z520" s="336"/>
    </row>
    <row r="521" spans="1:26" s="307" customFormat="1" ht="15.75">
      <c r="A521" s="242" t="s">
        <v>142</v>
      </c>
      <c r="B521" s="92"/>
      <c r="C521" s="93" t="s">
        <v>157</v>
      </c>
      <c r="D521" s="93" t="s">
        <v>123</v>
      </c>
      <c r="E521" s="171"/>
      <c r="F521" s="94"/>
      <c r="G521" s="58">
        <f>G522+G535+G547</f>
        <v>1133.6</v>
      </c>
      <c r="H521" s="336"/>
      <c r="I521" s="336"/>
      <c r="J521" s="336"/>
      <c r="K521" s="336"/>
      <c r="L521" s="336"/>
      <c r="M521" s="336"/>
      <c r="N521" s="336"/>
      <c r="O521" s="336"/>
      <c r="P521" s="336"/>
      <c r="Q521" s="337"/>
      <c r="R521" s="336"/>
      <c r="S521" s="336"/>
      <c r="T521" s="336"/>
      <c r="U521" s="336"/>
      <c r="V521" s="336"/>
      <c r="W521" s="336"/>
      <c r="X521" s="336"/>
      <c r="Y521" s="336"/>
      <c r="Z521" s="336"/>
    </row>
    <row r="522" spans="1:26" s="307" customFormat="1" ht="31.5">
      <c r="A522" s="275" t="s">
        <v>447</v>
      </c>
      <c r="B522" s="92"/>
      <c r="C522" s="93" t="s">
        <v>157</v>
      </c>
      <c r="D522" s="93" t="s">
        <v>123</v>
      </c>
      <c r="E522" s="52" t="s">
        <v>82</v>
      </c>
      <c r="F522" s="94"/>
      <c r="G522" s="58">
        <f>G523+G529</f>
        <v>370</v>
      </c>
      <c r="H522" s="336"/>
      <c r="I522" s="336"/>
      <c r="J522" s="336"/>
      <c r="K522" s="336"/>
      <c r="L522" s="336"/>
      <c r="M522" s="336"/>
      <c r="N522" s="336"/>
      <c r="O522" s="336"/>
      <c r="P522" s="336"/>
      <c r="Q522" s="337"/>
      <c r="R522" s="336"/>
      <c r="S522" s="336"/>
      <c r="T522" s="336"/>
      <c r="U522" s="336"/>
      <c r="V522" s="336"/>
      <c r="W522" s="336"/>
      <c r="X522" s="336"/>
      <c r="Y522" s="336"/>
      <c r="Z522" s="336"/>
    </row>
    <row r="523" spans="1:26" s="307" customFormat="1" ht="15.75">
      <c r="A523" s="252" t="s">
        <v>341</v>
      </c>
      <c r="B523" s="92"/>
      <c r="C523" s="93" t="s">
        <v>157</v>
      </c>
      <c r="D523" s="93" t="s">
        <v>123</v>
      </c>
      <c r="E523" s="52" t="s">
        <v>48</v>
      </c>
      <c r="F523" s="94"/>
      <c r="G523" s="58">
        <f>G524</f>
        <v>45</v>
      </c>
      <c r="H523" s="336"/>
      <c r="I523" s="336"/>
      <c r="J523" s="336"/>
      <c r="K523" s="336"/>
      <c r="L523" s="336"/>
      <c r="M523" s="336"/>
      <c r="N523" s="336"/>
      <c r="O523" s="336"/>
      <c r="P523" s="336"/>
      <c r="Q523" s="337"/>
      <c r="R523" s="336"/>
      <c r="S523" s="336"/>
      <c r="T523" s="336"/>
      <c r="U523" s="336"/>
      <c r="V523" s="336"/>
      <c r="W523" s="336"/>
      <c r="X523" s="336"/>
      <c r="Y523" s="336"/>
      <c r="Z523" s="336"/>
    </row>
    <row r="524" spans="1:26" s="307" customFormat="1" ht="15.75">
      <c r="A524" s="238" t="s">
        <v>94</v>
      </c>
      <c r="B524" s="55"/>
      <c r="C524" s="80" t="s">
        <v>157</v>
      </c>
      <c r="D524" s="80" t="s">
        <v>123</v>
      </c>
      <c r="E524" s="81" t="s">
        <v>49</v>
      </c>
      <c r="F524" s="76"/>
      <c r="G524" s="62">
        <f>G525+G527</f>
        <v>45</v>
      </c>
      <c r="H524" s="336"/>
      <c r="I524" s="336"/>
      <c r="J524" s="336"/>
      <c r="K524" s="336"/>
      <c r="L524" s="336"/>
      <c r="M524" s="336"/>
      <c r="N524" s="336"/>
      <c r="O524" s="336"/>
      <c r="P524" s="336"/>
      <c r="Q524" s="337"/>
      <c r="R524" s="336"/>
      <c r="S524" s="336"/>
      <c r="T524" s="336"/>
      <c r="U524" s="336"/>
      <c r="V524" s="336"/>
      <c r="W524" s="336"/>
      <c r="X524" s="336"/>
      <c r="Y524" s="336"/>
      <c r="Z524" s="336"/>
    </row>
    <row r="525" spans="1:26" s="307" customFormat="1" ht="15.75">
      <c r="A525" s="237" t="s">
        <v>226</v>
      </c>
      <c r="B525" s="47"/>
      <c r="C525" s="80" t="s">
        <v>157</v>
      </c>
      <c r="D525" s="80" t="s">
        <v>123</v>
      </c>
      <c r="E525" s="81" t="s">
        <v>49</v>
      </c>
      <c r="F525" s="76" t="s">
        <v>188</v>
      </c>
      <c r="G525" s="62">
        <f>G526</f>
        <v>5</v>
      </c>
      <c r="H525" s="336"/>
      <c r="I525" s="336"/>
      <c r="J525" s="336"/>
      <c r="K525" s="336"/>
      <c r="L525" s="336"/>
      <c r="M525" s="336"/>
      <c r="N525" s="336"/>
      <c r="O525" s="336"/>
      <c r="P525" s="336"/>
      <c r="Q525" s="337"/>
      <c r="R525" s="336"/>
      <c r="S525" s="336"/>
      <c r="T525" s="336"/>
      <c r="U525" s="336"/>
      <c r="V525" s="336"/>
      <c r="W525" s="336"/>
      <c r="X525" s="336"/>
      <c r="Y525" s="336"/>
      <c r="Z525" s="336"/>
    </row>
    <row r="526" spans="1:26" s="307" customFormat="1" ht="15.75">
      <c r="A526" s="237" t="s">
        <v>189</v>
      </c>
      <c r="B526" s="55"/>
      <c r="C526" s="80" t="s">
        <v>157</v>
      </c>
      <c r="D526" s="80" t="s">
        <v>123</v>
      </c>
      <c r="E526" s="81" t="s">
        <v>49</v>
      </c>
      <c r="F526" s="76" t="s">
        <v>187</v>
      </c>
      <c r="G526" s="62">
        <v>5</v>
      </c>
      <c r="H526" s="336"/>
      <c r="I526" s="336"/>
      <c r="J526" s="336"/>
      <c r="K526" s="336"/>
      <c r="L526" s="336"/>
      <c r="M526" s="336"/>
      <c r="N526" s="336"/>
      <c r="O526" s="336"/>
      <c r="P526" s="336"/>
      <c r="Q526" s="337"/>
      <c r="R526" s="336"/>
      <c r="S526" s="336"/>
      <c r="T526" s="336"/>
      <c r="U526" s="336"/>
      <c r="V526" s="336"/>
      <c r="W526" s="336"/>
      <c r="X526" s="336"/>
      <c r="Y526" s="336"/>
      <c r="Z526" s="336"/>
    </row>
    <row r="527" spans="1:26" s="307" customFormat="1" ht="31.5">
      <c r="A527" s="237" t="s">
        <v>263</v>
      </c>
      <c r="B527" s="92"/>
      <c r="C527" s="80" t="s">
        <v>157</v>
      </c>
      <c r="D527" s="80" t="s">
        <v>123</v>
      </c>
      <c r="E527" s="81" t="s">
        <v>49</v>
      </c>
      <c r="F527" s="153">
        <v>600</v>
      </c>
      <c r="G527" s="70">
        <f>G528</f>
        <v>40</v>
      </c>
      <c r="H527" s="336"/>
      <c r="I527" s="336"/>
      <c r="J527" s="336"/>
      <c r="K527" s="336"/>
      <c r="L527" s="336"/>
      <c r="M527" s="336"/>
      <c r="N527" s="336"/>
      <c r="O527" s="336"/>
      <c r="P527" s="336"/>
      <c r="Q527" s="337"/>
      <c r="R527" s="336"/>
      <c r="S527" s="336"/>
      <c r="T527" s="336"/>
      <c r="U527" s="336"/>
      <c r="V527" s="336"/>
      <c r="W527" s="336"/>
      <c r="X527" s="336"/>
      <c r="Y527" s="336"/>
      <c r="Z527" s="336"/>
    </row>
    <row r="528" spans="1:26" s="307" customFormat="1" ht="15.75">
      <c r="A528" s="237" t="s">
        <v>191</v>
      </c>
      <c r="B528" s="92"/>
      <c r="C528" s="80" t="s">
        <v>157</v>
      </c>
      <c r="D528" s="80" t="s">
        <v>123</v>
      </c>
      <c r="E528" s="81" t="s">
        <v>49</v>
      </c>
      <c r="F528" s="153">
        <v>610</v>
      </c>
      <c r="G528" s="70">
        <v>40</v>
      </c>
      <c r="H528" s="336"/>
      <c r="I528" s="336"/>
      <c r="J528" s="336"/>
      <c r="K528" s="336"/>
      <c r="L528" s="336"/>
      <c r="M528" s="336"/>
      <c r="N528" s="336"/>
      <c r="O528" s="336"/>
      <c r="P528" s="336"/>
      <c r="Q528" s="337"/>
      <c r="R528" s="336"/>
      <c r="S528" s="336"/>
      <c r="T528" s="336"/>
      <c r="U528" s="336"/>
      <c r="V528" s="336"/>
      <c r="W528" s="336"/>
      <c r="X528" s="336"/>
      <c r="Y528" s="336"/>
      <c r="Z528" s="336"/>
    </row>
    <row r="529" spans="1:26" s="307" customFormat="1" ht="15.75">
      <c r="A529" s="239" t="s">
        <v>212</v>
      </c>
      <c r="B529" s="55"/>
      <c r="C529" s="93" t="s">
        <v>157</v>
      </c>
      <c r="D529" s="93" t="s">
        <v>123</v>
      </c>
      <c r="E529" s="98" t="s">
        <v>50</v>
      </c>
      <c r="F529" s="76"/>
      <c r="G529" s="58">
        <f>G530</f>
        <v>325</v>
      </c>
      <c r="H529" s="336"/>
      <c r="I529" s="336"/>
      <c r="J529" s="336"/>
      <c r="K529" s="336"/>
      <c r="L529" s="336"/>
      <c r="M529" s="336"/>
      <c r="N529" s="336"/>
      <c r="O529" s="336"/>
      <c r="P529" s="336"/>
      <c r="Q529" s="337"/>
      <c r="R529" s="336"/>
      <c r="S529" s="336"/>
      <c r="T529" s="336"/>
      <c r="U529" s="336"/>
      <c r="V529" s="336"/>
      <c r="W529" s="336"/>
      <c r="X529" s="336"/>
      <c r="Y529" s="336"/>
      <c r="Z529" s="336"/>
    </row>
    <row r="530" spans="1:26" s="307" customFormat="1" ht="15.75">
      <c r="A530" s="238" t="s">
        <v>94</v>
      </c>
      <c r="B530" s="55"/>
      <c r="C530" s="80" t="s">
        <v>157</v>
      </c>
      <c r="D530" s="80" t="s">
        <v>123</v>
      </c>
      <c r="E530" s="81" t="s">
        <v>51</v>
      </c>
      <c r="F530" s="76"/>
      <c r="G530" s="62">
        <f>G531+G533</f>
        <v>325</v>
      </c>
      <c r="H530" s="336"/>
      <c r="I530" s="336"/>
      <c r="J530" s="336"/>
      <c r="K530" s="336"/>
      <c r="L530" s="336"/>
      <c r="M530" s="336"/>
      <c r="N530" s="336"/>
      <c r="O530" s="336"/>
      <c r="P530" s="336"/>
      <c r="Q530" s="337"/>
      <c r="R530" s="336"/>
      <c r="S530" s="336"/>
      <c r="T530" s="336"/>
      <c r="U530" s="336"/>
      <c r="V530" s="336"/>
      <c r="W530" s="336"/>
      <c r="X530" s="336"/>
      <c r="Y530" s="336"/>
      <c r="Z530" s="336"/>
    </row>
    <row r="531" spans="1:26" s="307" customFormat="1" ht="15.75">
      <c r="A531" s="237" t="s">
        <v>226</v>
      </c>
      <c r="B531" s="47"/>
      <c r="C531" s="80" t="s">
        <v>157</v>
      </c>
      <c r="D531" s="80" t="s">
        <v>123</v>
      </c>
      <c r="E531" s="81" t="s">
        <v>51</v>
      </c>
      <c r="F531" s="76" t="s">
        <v>188</v>
      </c>
      <c r="G531" s="62">
        <f>G532</f>
        <v>52</v>
      </c>
      <c r="H531" s="336"/>
      <c r="I531" s="336"/>
      <c r="J531" s="336"/>
      <c r="K531" s="336"/>
      <c r="L531" s="336"/>
      <c r="M531" s="336"/>
      <c r="N531" s="336"/>
      <c r="O531" s="336"/>
      <c r="P531" s="336"/>
      <c r="Q531" s="337"/>
      <c r="R531" s="336"/>
      <c r="S531" s="336"/>
      <c r="T531" s="336"/>
      <c r="U531" s="336"/>
      <c r="V531" s="336"/>
      <c r="W531" s="336"/>
      <c r="X531" s="336"/>
      <c r="Y531" s="336"/>
      <c r="Z531" s="336"/>
    </row>
    <row r="532" spans="1:26" s="307" customFormat="1" ht="33" customHeight="1">
      <c r="A532" s="237" t="s">
        <v>189</v>
      </c>
      <c r="B532" s="55"/>
      <c r="C532" s="80" t="s">
        <v>157</v>
      </c>
      <c r="D532" s="80" t="s">
        <v>123</v>
      </c>
      <c r="E532" s="81" t="s">
        <v>51</v>
      </c>
      <c r="F532" s="76" t="s">
        <v>187</v>
      </c>
      <c r="G532" s="62">
        <v>52</v>
      </c>
      <c r="H532" s="336"/>
      <c r="I532" s="336"/>
      <c r="J532" s="336"/>
      <c r="K532" s="336"/>
      <c r="L532" s="336"/>
      <c r="M532" s="336"/>
      <c r="N532" s="336"/>
      <c r="O532" s="336"/>
      <c r="P532" s="336"/>
      <c r="Q532" s="337"/>
      <c r="R532" s="336"/>
      <c r="S532" s="336"/>
      <c r="T532" s="336"/>
      <c r="U532" s="336"/>
      <c r="V532" s="336"/>
      <c r="W532" s="336"/>
      <c r="X532" s="336"/>
      <c r="Y532" s="336"/>
      <c r="Z532" s="336"/>
    </row>
    <row r="533" spans="1:26" s="307" customFormat="1" ht="31.5">
      <c r="A533" s="163" t="s">
        <v>190</v>
      </c>
      <c r="B533" s="55"/>
      <c r="C533" s="80" t="s">
        <v>157</v>
      </c>
      <c r="D533" s="80" t="s">
        <v>123</v>
      </c>
      <c r="E533" s="81" t="s">
        <v>51</v>
      </c>
      <c r="F533" s="76" t="s">
        <v>178</v>
      </c>
      <c r="G533" s="62">
        <f>G534</f>
        <v>273</v>
      </c>
      <c r="H533" s="336"/>
      <c r="I533" s="336"/>
      <c r="J533" s="336"/>
      <c r="K533" s="336"/>
      <c r="L533" s="336"/>
      <c r="M533" s="336"/>
      <c r="N533" s="336"/>
      <c r="O533" s="336"/>
      <c r="P533" s="336"/>
      <c r="Q533" s="337"/>
      <c r="R533" s="336"/>
      <c r="S533" s="336"/>
      <c r="T533" s="336"/>
      <c r="U533" s="336"/>
      <c r="V533" s="336"/>
      <c r="W533" s="336"/>
      <c r="X533" s="336"/>
      <c r="Y533" s="336"/>
      <c r="Z533" s="336"/>
    </row>
    <row r="534" spans="1:26" s="307" customFormat="1" ht="15.75">
      <c r="A534" s="253" t="s">
        <v>191</v>
      </c>
      <c r="B534" s="55"/>
      <c r="C534" s="80" t="s">
        <v>157</v>
      </c>
      <c r="D534" s="80" t="s">
        <v>123</v>
      </c>
      <c r="E534" s="81" t="s">
        <v>51</v>
      </c>
      <c r="F534" s="76" t="s">
        <v>192</v>
      </c>
      <c r="G534" s="62">
        <v>273</v>
      </c>
      <c r="H534" s="336"/>
      <c r="I534" s="336"/>
      <c r="J534" s="336"/>
      <c r="K534" s="336"/>
      <c r="L534" s="336"/>
      <c r="M534" s="336"/>
      <c r="N534" s="336"/>
      <c r="O534" s="336"/>
      <c r="P534" s="336"/>
      <c r="Q534" s="337"/>
      <c r="R534" s="336"/>
      <c r="S534" s="336"/>
      <c r="T534" s="336"/>
      <c r="U534" s="336"/>
      <c r="V534" s="336"/>
      <c r="W534" s="336"/>
      <c r="X534" s="336"/>
      <c r="Y534" s="336"/>
      <c r="Z534" s="336"/>
    </row>
    <row r="535" spans="1:26" s="307" customFormat="1" ht="31.5">
      <c r="A535" s="242" t="s">
        <v>491</v>
      </c>
      <c r="B535" s="97"/>
      <c r="C535" s="93" t="s">
        <v>157</v>
      </c>
      <c r="D535" s="93" t="s">
        <v>123</v>
      </c>
      <c r="E535" s="98" t="s">
        <v>83</v>
      </c>
      <c r="F535" s="76"/>
      <c r="G535" s="58">
        <f>G536+G541+G544</f>
        <v>753.6</v>
      </c>
      <c r="H535" s="336"/>
      <c r="I535" s="336"/>
      <c r="J535" s="336"/>
      <c r="K535" s="336"/>
      <c r="L535" s="336"/>
      <c r="M535" s="336"/>
      <c r="N535" s="336"/>
      <c r="O535" s="336"/>
      <c r="P535" s="336"/>
      <c r="Q535" s="337"/>
      <c r="R535" s="336"/>
      <c r="S535" s="336"/>
      <c r="T535" s="336"/>
      <c r="U535" s="336"/>
      <c r="V535" s="336"/>
      <c r="W535" s="336"/>
      <c r="X535" s="336"/>
      <c r="Y535" s="336"/>
      <c r="Z535" s="336"/>
    </row>
    <row r="536" spans="1:26" s="307" customFormat="1" ht="15.75">
      <c r="A536" s="238" t="s">
        <v>94</v>
      </c>
      <c r="B536" s="55"/>
      <c r="C536" s="80" t="s">
        <v>157</v>
      </c>
      <c r="D536" s="80" t="s">
        <v>123</v>
      </c>
      <c r="E536" s="81" t="s">
        <v>348</v>
      </c>
      <c r="F536" s="76"/>
      <c r="G536" s="62">
        <f>G539+G537</f>
        <v>40</v>
      </c>
      <c r="H536" s="336"/>
      <c r="I536" s="336"/>
      <c r="J536" s="336"/>
      <c r="K536" s="336"/>
      <c r="L536" s="336"/>
      <c r="M536" s="336"/>
      <c r="N536" s="336"/>
      <c r="O536" s="336"/>
      <c r="P536" s="336"/>
      <c r="Q536" s="337"/>
      <c r="R536" s="336"/>
      <c r="S536" s="336"/>
      <c r="T536" s="336"/>
      <c r="U536" s="336"/>
      <c r="V536" s="336"/>
      <c r="W536" s="336"/>
      <c r="X536" s="336"/>
      <c r="Y536" s="336"/>
      <c r="Z536" s="336"/>
    </row>
    <row r="537" spans="1:26" s="307" customFormat="1" ht="15.75">
      <c r="A537" s="237" t="s">
        <v>226</v>
      </c>
      <c r="B537" s="55"/>
      <c r="C537" s="80" t="s">
        <v>157</v>
      </c>
      <c r="D537" s="80" t="s">
        <v>123</v>
      </c>
      <c r="E537" s="81" t="s">
        <v>348</v>
      </c>
      <c r="F537" s="76" t="s">
        <v>188</v>
      </c>
      <c r="G537" s="62">
        <f>G538</f>
        <v>5</v>
      </c>
      <c r="H537" s="336"/>
      <c r="I537" s="336"/>
      <c r="J537" s="336"/>
      <c r="K537" s="336"/>
      <c r="L537" s="336"/>
      <c r="M537" s="336"/>
      <c r="N537" s="336"/>
      <c r="O537" s="336"/>
      <c r="P537" s="336"/>
      <c r="Q537" s="337"/>
      <c r="R537" s="336"/>
      <c r="S537" s="336"/>
      <c r="T537" s="336"/>
      <c r="U537" s="336"/>
      <c r="V537" s="336"/>
      <c r="W537" s="336"/>
      <c r="X537" s="336"/>
      <c r="Y537" s="336"/>
      <c r="Z537" s="336"/>
    </row>
    <row r="538" spans="1:26" s="307" customFormat="1" ht="19.5" customHeight="1">
      <c r="A538" s="237" t="s">
        <v>189</v>
      </c>
      <c r="B538" s="55"/>
      <c r="C538" s="80" t="s">
        <v>157</v>
      </c>
      <c r="D538" s="80" t="s">
        <v>123</v>
      </c>
      <c r="E538" s="81" t="s">
        <v>348</v>
      </c>
      <c r="F538" s="76" t="s">
        <v>187</v>
      </c>
      <c r="G538" s="62">
        <v>5</v>
      </c>
      <c r="H538" s="336"/>
      <c r="I538" s="336"/>
      <c r="J538" s="336"/>
      <c r="K538" s="336"/>
      <c r="L538" s="336"/>
      <c r="M538" s="336"/>
      <c r="N538" s="336"/>
      <c r="O538" s="336"/>
      <c r="P538" s="336"/>
      <c r="Q538" s="337"/>
      <c r="R538" s="336"/>
      <c r="S538" s="336"/>
      <c r="T538" s="336"/>
      <c r="U538" s="336"/>
      <c r="V538" s="336"/>
      <c r="W538" s="336"/>
      <c r="X538" s="336"/>
      <c r="Y538" s="336"/>
      <c r="Z538" s="336"/>
    </row>
    <row r="539" spans="1:26" s="307" customFormat="1" ht="31.5">
      <c r="A539" s="163" t="s">
        <v>190</v>
      </c>
      <c r="B539" s="55"/>
      <c r="C539" s="80" t="s">
        <v>157</v>
      </c>
      <c r="D539" s="80" t="s">
        <v>123</v>
      </c>
      <c r="E539" s="81" t="s">
        <v>348</v>
      </c>
      <c r="F539" s="76" t="s">
        <v>178</v>
      </c>
      <c r="G539" s="62">
        <f>G540</f>
        <v>35</v>
      </c>
      <c r="H539" s="336"/>
      <c r="I539" s="336"/>
      <c r="J539" s="336"/>
      <c r="K539" s="336"/>
      <c r="L539" s="336"/>
      <c r="M539" s="336"/>
      <c r="N539" s="336"/>
      <c r="O539" s="336"/>
      <c r="P539" s="336"/>
      <c r="Q539" s="337"/>
      <c r="R539" s="336"/>
      <c r="S539" s="336"/>
      <c r="T539" s="336"/>
      <c r="U539" s="336"/>
      <c r="V539" s="336"/>
      <c r="W539" s="336"/>
      <c r="X539" s="336"/>
      <c r="Y539" s="336"/>
      <c r="Z539" s="336"/>
    </row>
    <row r="540" spans="1:26" s="307" customFormat="1" ht="15.75">
      <c r="A540" s="253" t="s">
        <v>191</v>
      </c>
      <c r="B540" s="55"/>
      <c r="C540" s="80" t="s">
        <v>157</v>
      </c>
      <c r="D540" s="80" t="s">
        <v>123</v>
      </c>
      <c r="E540" s="81" t="s">
        <v>348</v>
      </c>
      <c r="F540" s="76" t="s">
        <v>192</v>
      </c>
      <c r="G540" s="62">
        <v>35</v>
      </c>
      <c r="H540" s="336"/>
      <c r="I540" s="336"/>
      <c r="J540" s="336"/>
      <c r="K540" s="336"/>
      <c r="L540" s="336"/>
      <c r="M540" s="336"/>
      <c r="N540" s="336"/>
      <c r="O540" s="336"/>
      <c r="P540" s="336"/>
      <c r="Q540" s="337"/>
      <c r="R540" s="336"/>
      <c r="S540" s="336"/>
      <c r="T540" s="336"/>
      <c r="U540" s="336"/>
      <c r="V540" s="336"/>
      <c r="W540" s="336"/>
      <c r="X540" s="336"/>
      <c r="Y540" s="336"/>
      <c r="Z540" s="336"/>
    </row>
    <row r="541" spans="1:26" s="307" customFormat="1" ht="47.25">
      <c r="A541" s="236" t="s">
        <v>577</v>
      </c>
      <c r="B541" s="55"/>
      <c r="C541" s="80" t="s">
        <v>157</v>
      </c>
      <c r="D541" s="80" t="s">
        <v>123</v>
      </c>
      <c r="E541" s="56" t="s">
        <v>578</v>
      </c>
      <c r="F541" s="56"/>
      <c r="G541" s="62">
        <f>G542</f>
        <v>693.6</v>
      </c>
      <c r="H541" s="336"/>
      <c r="I541" s="336"/>
      <c r="J541" s="336"/>
      <c r="K541" s="336"/>
      <c r="L541" s="336"/>
      <c r="M541" s="336"/>
      <c r="N541" s="336"/>
      <c r="O541" s="336"/>
      <c r="P541" s="336"/>
      <c r="Q541" s="337"/>
      <c r="R541" s="336"/>
      <c r="S541" s="336"/>
      <c r="T541" s="336"/>
      <c r="U541" s="336"/>
      <c r="V541" s="336"/>
      <c r="W541" s="336"/>
      <c r="X541" s="336"/>
      <c r="Y541" s="336"/>
      <c r="Z541" s="336"/>
    </row>
    <row r="542" spans="1:26" s="307" customFormat="1" ht="15.75">
      <c r="A542" s="237" t="s">
        <v>226</v>
      </c>
      <c r="B542" s="55"/>
      <c r="C542" s="80" t="s">
        <v>157</v>
      </c>
      <c r="D542" s="80" t="s">
        <v>123</v>
      </c>
      <c r="E542" s="56" t="s">
        <v>578</v>
      </c>
      <c r="F542" s="56" t="s">
        <v>188</v>
      </c>
      <c r="G542" s="62">
        <f>G543</f>
        <v>693.6</v>
      </c>
      <c r="H542" s="336"/>
      <c r="I542" s="336"/>
      <c r="J542" s="336"/>
      <c r="K542" s="336"/>
      <c r="L542" s="336"/>
      <c r="M542" s="336"/>
      <c r="N542" s="336"/>
      <c r="O542" s="336"/>
      <c r="P542" s="336"/>
      <c r="Q542" s="337"/>
      <c r="R542" s="336"/>
      <c r="S542" s="336"/>
      <c r="T542" s="336"/>
      <c r="U542" s="336"/>
      <c r="V542" s="336"/>
      <c r="W542" s="336"/>
      <c r="X542" s="336"/>
      <c r="Y542" s="336"/>
      <c r="Z542" s="336"/>
    </row>
    <row r="543" spans="1:26" s="307" customFormat="1" ht="22.5" customHeight="1">
      <c r="A543" s="237" t="s">
        <v>189</v>
      </c>
      <c r="B543" s="55"/>
      <c r="C543" s="80" t="s">
        <v>157</v>
      </c>
      <c r="D543" s="80" t="s">
        <v>123</v>
      </c>
      <c r="E543" s="56" t="s">
        <v>578</v>
      </c>
      <c r="F543" s="56" t="s">
        <v>187</v>
      </c>
      <c r="G543" s="62">
        <v>693.6</v>
      </c>
      <c r="H543" s="336"/>
      <c r="I543" s="336"/>
      <c r="J543" s="336"/>
      <c r="K543" s="336"/>
      <c r="L543" s="336"/>
      <c r="M543" s="336"/>
      <c r="N543" s="336"/>
      <c r="O543" s="336"/>
      <c r="P543" s="336"/>
      <c r="Q543" s="337"/>
      <c r="R543" s="336"/>
      <c r="S543" s="336"/>
      <c r="T543" s="336"/>
      <c r="U543" s="336"/>
      <c r="V543" s="336"/>
      <c r="W543" s="336"/>
      <c r="X543" s="336"/>
      <c r="Y543" s="336"/>
      <c r="Z543" s="336"/>
    </row>
    <row r="544" spans="1:26" s="307" customFormat="1" ht="31.5">
      <c r="A544" s="235" t="s">
        <v>579</v>
      </c>
      <c r="B544" s="55"/>
      <c r="C544" s="80" t="s">
        <v>157</v>
      </c>
      <c r="D544" s="80" t="s">
        <v>123</v>
      </c>
      <c r="E544" s="56" t="s">
        <v>580</v>
      </c>
      <c r="F544" s="56"/>
      <c r="G544" s="62">
        <f>G545</f>
        <v>20</v>
      </c>
      <c r="H544" s="336"/>
      <c r="I544" s="336"/>
      <c r="J544" s="336"/>
      <c r="K544" s="336"/>
      <c r="L544" s="336"/>
      <c r="M544" s="336"/>
      <c r="N544" s="336"/>
      <c r="O544" s="336"/>
      <c r="P544" s="336"/>
      <c r="Q544" s="337"/>
      <c r="R544" s="336"/>
      <c r="S544" s="336"/>
      <c r="T544" s="336"/>
      <c r="U544" s="336"/>
      <c r="V544" s="336"/>
      <c r="W544" s="336"/>
      <c r="X544" s="336"/>
      <c r="Y544" s="336"/>
      <c r="Z544" s="336"/>
    </row>
    <row r="545" spans="1:26" s="307" customFormat="1" ht="15.75">
      <c r="A545" s="237" t="s">
        <v>226</v>
      </c>
      <c r="B545" s="55"/>
      <c r="C545" s="80" t="s">
        <v>157</v>
      </c>
      <c r="D545" s="80" t="s">
        <v>123</v>
      </c>
      <c r="E545" s="56" t="s">
        <v>580</v>
      </c>
      <c r="F545" s="56" t="s">
        <v>188</v>
      </c>
      <c r="G545" s="62">
        <f>G546</f>
        <v>20</v>
      </c>
      <c r="H545" s="336"/>
      <c r="I545" s="336"/>
      <c r="J545" s="336"/>
      <c r="K545" s="336"/>
      <c r="L545" s="336"/>
      <c r="M545" s="336"/>
      <c r="N545" s="336"/>
      <c r="O545" s="336"/>
      <c r="P545" s="336"/>
      <c r="Q545" s="337"/>
      <c r="R545" s="336"/>
      <c r="S545" s="336"/>
      <c r="T545" s="336"/>
      <c r="U545" s="336"/>
      <c r="V545" s="336"/>
      <c r="W545" s="336"/>
      <c r="X545" s="336"/>
      <c r="Y545" s="336"/>
      <c r="Z545" s="336"/>
    </row>
    <row r="546" spans="1:26" s="307" customFormat="1" ht="18" customHeight="1">
      <c r="A546" s="237" t="s">
        <v>189</v>
      </c>
      <c r="B546" s="55"/>
      <c r="C546" s="80" t="s">
        <v>157</v>
      </c>
      <c r="D546" s="80" t="s">
        <v>123</v>
      </c>
      <c r="E546" s="56" t="s">
        <v>580</v>
      </c>
      <c r="F546" s="56" t="s">
        <v>187</v>
      </c>
      <c r="G546" s="62">
        <v>20</v>
      </c>
      <c r="H546" s="336"/>
      <c r="I546" s="336"/>
      <c r="J546" s="336"/>
      <c r="K546" s="336"/>
      <c r="L546" s="336"/>
      <c r="M546" s="336"/>
      <c r="N546" s="336"/>
      <c r="O546" s="336"/>
      <c r="P546" s="336"/>
      <c r="Q546" s="337"/>
      <c r="R546" s="336"/>
      <c r="S546" s="336"/>
      <c r="T546" s="336"/>
      <c r="U546" s="336"/>
      <c r="V546" s="336"/>
      <c r="W546" s="336"/>
      <c r="X546" s="336"/>
      <c r="Y546" s="336"/>
      <c r="Z546" s="336"/>
    </row>
    <row r="547" spans="1:26" s="307" customFormat="1" ht="31.5">
      <c r="A547" s="243" t="s">
        <v>581</v>
      </c>
      <c r="B547" s="97"/>
      <c r="C547" s="93" t="s">
        <v>157</v>
      </c>
      <c r="D547" s="93" t="s">
        <v>123</v>
      </c>
      <c r="E547" s="98" t="s">
        <v>342</v>
      </c>
      <c r="F547" s="76"/>
      <c r="G547" s="58">
        <f>G548</f>
        <v>10</v>
      </c>
      <c r="H547" s="336"/>
      <c r="I547" s="336"/>
      <c r="J547" s="336"/>
      <c r="K547" s="336"/>
      <c r="L547" s="336"/>
      <c r="M547" s="336"/>
      <c r="N547" s="336"/>
      <c r="O547" s="336"/>
      <c r="P547" s="336"/>
      <c r="Q547" s="337"/>
      <c r="R547" s="336"/>
      <c r="S547" s="336"/>
      <c r="T547" s="336"/>
      <c r="U547" s="336"/>
      <c r="V547" s="336"/>
      <c r="W547" s="336"/>
      <c r="X547" s="336"/>
      <c r="Y547" s="336"/>
      <c r="Z547" s="336"/>
    </row>
    <row r="548" spans="1:26" s="307" customFormat="1" ht="15.75">
      <c r="A548" s="238" t="s">
        <v>94</v>
      </c>
      <c r="B548" s="97"/>
      <c r="C548" s="80" t="s">
        <v>157</v>
      </c>
      <c r="D548" s="80" t="s">
        <v>123</v>
      </c>
      <c r="E548" s="81" t="s">
        <v>344</v>
      </c>
      <c r="F548" s="76"/>
      <c r="G548" s="62">
        <f>G549</f>
        <v>10</v>
      </c>
      <c r="H548" s="336"/>
      <c r="I548" s="336"/>
      <c r="J548" s="336"/>
      <c r="K548" s="336"/>
      <c r="L548" s="336"/>
      <c r="M548" s="336"/>
      <c r="N548" s="336"/>
      <c r="O548" s="336"/>
      <c r="P548" s="336"/>
      <c r="Q548" s="337"/>
      <c r="R548" s="336"/>
      <c r="S548" s="336"/>
      <c r="T548" s="336"/>
      <c r="U548" s="336"/>
      <c r="V548" s="336"/>
      <c r="W548" s="336"/>
      <c r="X548" s="336"/>
      <c r="Y548" s="336"/>
      <c r="Z548" s="336"/>
    </row>
    <row r="549" spans="1:26" s="307" customFormat="1" ht="15.75">
      <c r="A549" s="237" t="s">
        <v>226</v>
      </c>
      <c r="B549" s="97"/>
      <c r="C549" s="80" t="s">
        <v>157</v>
      </c>
      <c r="D549" s="80" t="s">
        <v>123</v>
      </c>
      <c r="E549" s="81" t="s">
        <v>344</v>
      </c>
      <c r="F549" s="76" t="s">
        <v>188</v>
      </c>
      <c r="G549" s="62">
        <f>G550</f>
        <v>10</v>
      </c>
      <c r="H549" s="336"/>
      <c r="I549" s="336"/>
      <c r="J549" s="336"/>
      <c r="K549" s="336"/>
      <c r="L549" s="336"/>
      <c r="M549" s="336"/>
      <c r="N549" s="336"/>
      <c r="O549" s="336"/>
      <c r="P549" s="336"/>
      <c r="Q549" s="337"/>
      <c r="R549" s="336"/>
      <c r="S549" s="336"/>
      <c r="T549" s="336"/>
      <c r="U549" s="336"/>
      <c r="V549" s="336"/>
      <c r="W549" s="336"/>
      <c r="X549" s="336"/>
      <c r="Y549" s="336"/>
      <c r="Z549" s="336"/>
    </row>
    <row r="550" spans="1:26" s="307" customFormat="1" ht="15.75">
      <c r="A550" s="237" t="s">
        <v>189</v>
      </c>
      <c r="B550" s="97"/>
      <c r="C550" s="80" t="s">
        <v>157</v>
      </c>
      <c r="D550" s="80" t="s">
        <v>123</v>
      </c>
      <c r="E550" s="81" t="s">
        <v>344</v>
      </c>
      <c r="F550" s="76" t="s">
        <v>187</v>
      </c>
      <c r="G550" s="62">
        <v>10</v>
      </c>
      <c r="H550" s="336"/>
      <c r="I550" s="336"/>
      <c r="J550" s="336"/>
      <c r="K550" s="336"/>
      <c r="L550" s="336"/>
      <c r="M550" s="336"/>
      <c r="N550" s="336"/>
      <c r="O550" s="336"/>
      <c r="P550" s="336"/>
      <c r="Q550" s="337"/>
      <c r="R550" s="336"/>
      <c r="S550" s="336"/>
      <c r="T550" s="336"/>
      <c r="U550" s="336"/>
      <c r="V550" s="336"/>
      <c r="W550" s="336"/>
      <c r="X550" s="336"/>
      <c r="Y550" s="336"/>
      <c r="Z550" s="336"/>
    </row>
    <row r="551" spans="1:26" s="307" customFormat="1" ht="15.75">
      <c r="A551" s="276" t="s">
        <v>182</v>
      </c>
      <c r="B551" s="294"/>
      <c r="C551" s="103" t="s">
        <v>170</v>
      </c>
      <c r="D551" s="295"/>
      <c r="E551" s="296"/>
      <c r="F551" s="295"/>
      <c r="G551" s="104">
        <f>G552</f>
        <v>31368.8</v>
      </c>
      <c r="H551" s="336"/>
      <c r="I551" s="336"/>
      <c r="J551" s="336"/>
      <c r="K551" s="336"/>
      <c r="L551" s="336"/>
      <c r="M551" s="336"/>
      <c r="N551" s="336"/>
      <c r="O551" s="336"/>
      <c r="P551" s="336"/>
      <c r="Q551" s="337"/>
      <c r="R551" s="336"/>
      <c r="S551" s="336"/>
      <c r="T551" s="336"/>
      <c r="U551" s="336"/>
      <c r="V551" s="336"/>
      <c r="W551" s="336"/>
      <c r="X551" s="336"/>
      <c r="Y551" s="336"/>
      <c r="Z551" s="336"/>
    </row>
    <row r="552" spans="1:26" s="307" customFormat="1" ht="24" customHeight="1">
      <c r="A552" s="252" t="s">
        <v>136</v>
      </c>
      <c r="B552" s="51"/>
      <c r="C552" s="45" t="s">
        <v>170</v>
      </c>
      <c r="D552" s="45" t="s">
        <v>164</v>
      </c>
      <c r="E552" s="52"/>
      <c r="F552" s="57"/>
      <c r="G552" s="58">
        <f>G553+G569</f>
        <v>31368.8</v>
      </c>
      <c r="H552" s="336"/>
      <c r="I552" s="336"/>
      <c r="J552" s="336"/>
      <c r="K552" s="336"/>
      <c r="L552" s="336"/>
      <c r="M552" s="336"/>
      <c r="N552" s="336"/>
      <c r="O552" s="336"/>
      <c r="P552" s="336"/>
      <c r="Q552" s="337"/>
      <c r="R552" s="336"/>
      <c r="S552" s="336"/>
      <c r="T552" s="336"/>
      <c r="U552" s="336"/>
      <c r="V552" s="336"/>
      <c r="W552" s="336"/>
      <c r="X552" s="336"/>
      <c r="Y552" s="336"/>
      <c r="Z552" s="336"/>
    </row>
    <row r="553" spans="1:26" s="307" customFormat="1" ht="31.5">
      <c r="A553" s="276" t="s">
        <v>317</v>
      </c>
      <c r="B553" s="51"/>
      <c r="C553" s="45" t="s">
        <v>170</v>
      </c>
      <c r="D553" s="45" t="s">
        <v>164</v>
      </c>
      <c r="E553" s="52" t="s">
        <v>74</v>
      </c>
      <c r="F553" s="57"/>
      <c r="G553" s="58">
        <f>G554</f>
        <v>2070</v>
      </c>
      <c r="H553" s="336"/>
      <c r="I553" s="336"/>
      <c r="J553" s="336"/>
      <c r="K553" s="336"/>
      <c r="L553" s="336"/>
      <c r="M553" s="336"/>
      <c r="N553" s="336"/>
      <c r="O553" s="336"/>
      <c r="P553" s="336"/>
      <c r="Q553" s="337"/>
      <c r="R553" s="336"/>
      <c r="S553" s="336"/>
      <c r="T553" s="336"/>
      <c r="U553" s="336"/>
      <c r="V553" s="336"/>
      <c r="W553" s="336"/>
      <c r="X553" s="336"/>
      <c r="Y553" s="336"/>
      <c r="Z553" s="336"/>
    </row>
    <row r="554" spans="1:26" s="307" customFormat="1" ht="15.75">
      <c r="A554" s="252" t="s">
        <v>514</v>
      </c>
      <c r="B554" s="51"/>
      <c r="C554" s="45" t="s">
        <v>170</v>
      </c>
      <c r="D554" s="45" t="s">
        <v>164</v>
      </c>
      <c r="E554" s="52" t="s">
        <v>76</v>
      </c>
      <c r="F554" s="57"/>
      <c r="G554" s="58">
        <f>G555+G563+G566+G560</f>
        <v>2070</v>
      </c>
      <c r="H554" s="336"/>
      <c r="I554" s="336"/>
      <c r="J554" s="336"/>
      <c r="K554" s="336"/>
      <c r="L554" s="336"/>
      <c r="M554" s="336"/>
      <c r="N554" s="336"/>
      <c r="O554" s="336"/>
      <c r="P554" s="336"/>
      <c r="Q554" s="337"/>
      <c r="R554" s="336"/>
      <c r="S554" s="336"/>
      <c r="T554" s="336"/>
      <c r="U554" s="336"/>
      <c r="V554" s="336"/>
      <c r="W554" s="336"/>
      <c r="X554" s="336"/>
      <c r="Y554" s="336"/>
      <c r="Z554" s="336"/>
    </row>
    <row r="555" spans="1:26" s="307" customFormat="1" ht="15.75">
      <c r="A555" s="238" t="s">
        <v>97</v>
      </c>
      <c r="B555" s="47"/>
      <c r="C555" s="48" t="s">
        <v>170</v>
      </c>
      <c r="D555" s="48" t="s">
        <v>164</v>
      </c>
      <c r="E555" s="49" t="s">
        <v>77</v>
      </c>
      <c r="F555" s="56"/>
      <c r="G555" s="62">
        <f>G556+G558</f>
        <v>1070</v>
      </c>
      <c r="H555" s="336"/>
      <c r="I555" s="336"/>
      <c r="J555" s="336"/>
      <c r="K555" s="336"/>
      <c r="L555" s="336"/>
      <c r="M555" s="336"/>
      <c r="N555" s="336"/>
      <c r="O555" s="336"/>
      <c r="P555" s="336"/>
      <c r="Q555" s="337"/>
      <c r="R555" s="336"/>
      <c r="S555" s="336"/>
      <c r="T555" s="336"/>
      <c r="U555" s="336"/>
      <c r="V555" s="336"/>
      <c r="W555" s="336"/>
      <c r="X555" s="336"/>
      <c r="Y555" s="336"/>
      <c r="Z555" s="336"/>
    </row>
    <row r="556" spans="1:26" s="307" customFormat="1" ht="35.25" customHeight="1">
      <c r="A556" s="237" t="s">
        <v>226</v>
      </c>
      <c r="B556" s="47"/>
      <c r="C556" s="48" t="s">
        <v>170</v>
      </c>
      <c r="D556" s="48" t="s">
        <v>164</v>
      </c>
      <c r="E556" s="49" t="s">
        <v>77</v>
      </c>
      <c r="F556" s="56" t="s">
        <v>188</v>
      </c>
      <c r="G556" s="62">
        <f>G557</f>
        <v>50</v>
      </c>
      <c r="H556" s="336"/>
      <c r="I556" s="336"/>
      <c r="J556" s="336"/>
      <c r="K556" s="336"/>
      <c r="L556" s="336"/>
      <c r="M556" s="336"/>
      <c r="N556" s="336"/>
      <c r="O556" s="336"/>
      <c r="P556" s="336"/>
      <c r="Q556" s="337"/>
      <c r="R556" s="336"/>
      <c r="S556" s="336"/>
      <c r="T556" s="336"/>
      <c r="U556" s="336"/>
      <c r="V556" s="336"/>
      <c r="W556" s="336"/>
      <c r="X556" s="336"/>
      <c r="Y556" s="336"/>
      <c r="Z556" s="336"/>
    </row>
    <row r="557" spans="1:26" s="307" customFormat="1" ht="22.5" customHeight="1">
      <c r="A557" s="237" t="s">
        <v>189</v>
      </c>
      <c r="B557" s="47"/>
      <c r="C557" s="48" t="s">
        <v>170</v>
      </c>
      <c r="D557" s="48" t="s">
        <v>164</v>
      </c>
      <c r="E557" s="49" t="s">
        <v>77</v>
      </c>
      <c r="F557" s="56" t="s">
        <v>187</v>
      </c>
      <c r="G557" s="62">
        <v>50</v>
      </c>
      <c r="H557" s="336"/>
      <c r="I557" s="336"/>
      <c r="J557" s="336"/>
      <c r="K557" s="336"/>
      <c r="L557" s="336"/>
      <c r="M557" s="336"/>
      <c r="N557" s="336"/>
      <c r="O557" s="336"/>
      <c r="P557" s="336"/>
      <c r="Q557" s="337"/>
      <c r="R557" s="336"/>
      <c r="S557" s="336"/>
      <c r="T557" s="336"/>
      <c r="U557" s="336"/>
      <c r="V557" s="336"/>
      <c r="W557" s="336"/>
      <c r="X557" s="336"/>
      <c r="Y557" s="336"/>
      <c r="Z557" s="336"/>
    </row>
    <row r="558" spans="1:26" s="307" customFormat="1" ht="31.5">
      <c r="A558" s="163" t="s">
        <v>190</v>
      </c>
      <c r="B558" s="47"/>
      <c r="C558" s="48" t="s">
        <v>170</v>
      </c>
      <c r="D558" s="48" t="s">
        <v>164</v>
      </c>
      <c r="E558" s="49" t="s">
        <v>77</v>
      </c>
      <c r="F558" s="56" t="s">
        <v>178</v>
      </c>
      <c r="G558" s="62">
        <f>G559</f>
        <v>1020</v>
      </c>
      <c r="H558" s="336"/>
      <c r="I558" s="336"/>
      <c r="J558" s="336"/>
      <c r="K558" s="336"/>
      <c r="L558" s="336"/>
      <c r="M558" s="336"/>
      <c r="N558" s="336"/>
      <c r="O558" s="336"/>
      <c r="P558" s="336"/>
      <c r="Q558" s="337"/>
      <c r="R558" s="336"/>
      <c r="S558" s="336"/>
      <c r="T558" s="336"/>
      <c r="U558" s="336"/>
      <c r="V558" s="336"/>
      <c r="W558" s="336"/>
      <c r="X558" s="336"/>
      <c r="Y558" s="336"/>
      <c r="Z558" s="336"/>
    </row>
    <row r="559" spans="1:7" ht="15.75">
      <c r="A559" s="253" t="s">
        <v>191</v>
      </c>
      <c r="B559" s="47"/>
      <c r="C559" s="48" t="s">
        <v>170</v>
      </c>
      <c r="D559" s="48" t="s">
        <v>164</v>
      </c>
      <c r="E559" s="49" t="s">
        <v>77</v>
      </c>
      <c r="F559" s="56" t="s">
        <v>192</v>
      </c>
      <c r="G559" s="62">
        <f>1020</f>
        <v>1020</v>
      </c>
    </row>
    <row r="560" spans="1:7" ht="15.75">
      <c r="A560" s="253" t="s">
        <v>670</v>
      </c>
      <c r="B560" s="47"/>
      <c r="C560" s="48" t="s">
        <v>170</v>
      </c>
      <c r="D560" s="48" t="s">
        <v>164</v>
      </c>
      <c r="E560" s="49" t="s">
        <v>669</v>
      </c>
      <c r="F560" s="56"/>
      <c r="G560" s="62">
        <f>G561</f>
        <v>500</v>
      </c>
    </row>
    <row r="561" spans="1:7" ht="24.75" customHeight="1">
      <c r="A561" s="163" t="s">
        <v>190</v>
      </c>
      <c r="B561" s="47"/>
      <c r="C561" s="48" t="s">
        <v>170</v>
      </c>
      <c r="D561" s="48" t="s">
        <v>164</v>
      </c>
      <c r="E561" s="49" t="s">
        <v>669</v>
      </c>
      <c r="F561" s="56" t="s">
        <v>178</v>
      </c>
      <c r="G561" s="62">
        <f>G562</f>
        <v>500</v>
      </c>
    </row>
    <row r="562" spans="1:7" ht="34.5" customHeight="1">
      <c r="A562" s="253" t="s">
        <v>191</v>
      </c>
      <c r="B562" s="47"/>
      <c r="C562" s="48" t="s">
        <v>170</v>
      </c>
      <c r="D562" s="48" t="s">
        <v>164</v>
      </c>
      <c r="E562" s="49" t="s">
        <v>669</v>
      </c>
      <c r="F562" s="56" t="s">
        <v>192</v>
      </c>
      <c r="G562" s="62">
        <v>500</v>
      </c>
    </row>
    <row r="563" spans="1:26" s="16" customFormat="1" ht="15.75">
      <c r="A563" s="253" t="s">
        <v>503</v>
      </c>
      <c r="B563" s="47"/>
      <c r="C563" s="48" t="s">
        <v>170</v>
      </c>
      <c r="D563" s="48" t="s">
        <v>164</v>
      </c>
      <c r="E563" s="49" t="s">
        <v>502</v>
      </c>
      <c r="F563" s="56"/>
      <c r="G563" s="62">
        <f>G564</f>
        <v>100</v>
      </c>
      <c r="H563" s="293"/>
      <c r="I563" s="293"/>
      <c r="J563" s="293"/>
      <c r="K563" s="293"/>
      <c r="L563" s="293"/>
      <c r="M563" s="293"/>
      <c r="N563" s="293"/>
      <c r="O563" s="293"/>
      <c r="P563" s="293"/>
      <c r="Q563" s="222"/>
      <c r="R563" s="293"/>
      <c r="S563" s="293"/>
      <c r="T563" s="293"/>
      <c r="U563" s="293"/>
      <c r="V563" s="293"/>
      <c r="W563" s="293"/>
      <c r="X563" s="293"/>
      <c r="Y563" s="293"/>
      <c r="Z563" s="293"/>
    </row>
    <row r="564" spans="1:7" ht="31.5">
      <c r="A564" s="163" t="s">
        <v>190</v>
      </c>
      <c r="B564" s="47"/>
      <c r="C564" s="48" t="s">
        <v>170</v>
      </c>
      <c r="D564" s="48" t="s">
        <v>164</v>
      </c>
      <c r="E564" s="49" t="s">
        <v>502</v>
      </c>
      <c r="F564" s="56" t="s">
        <v>178</v>
      </c>
      <c r="G564" s="62">
        <f>G565</f>
        <v>100</v>
      </c>
    </row>
    <row r="565" spans="1:26" s="10" customFormat="1" ht="15.75">
      <c r="A565" s="253" t="s">
        <v>191</v>
      </c>
      <c r="B565" s="47"/>
      <c r="C565" s="48" t="s">
        <v>170</v>
      </c>
      <c r="D565" s="48" t="s">
        <v>164</v>
      </c>
      <c r="E565" s="49" t="s">
        <v>502</v>
      </c>
      <c r="F565" s="56" t="s">
        <v>192</v>
      </c>
      <c r="G565" s="62">
        <v>100</v>
      </c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s="10" customFormat="1" ht="15.75">
      <c r="A566" s="238" t="s">
        <v>395</v>
      </c>
      <c r="B566" s="47"/>
      <c r="C566" s="48" t="s">
        <v>170</v>
      </c>
      <c r="D566" s="48" t="s">
        <v>164</v>
      </c>
      <c r="E566" s="49" t="s">
        <v>394</v>
      </c>
      <c r="F566" s="56"/>
      <c r="G566" s="62">
        <f>G567</f>
        <v>400</v>
      </c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s="10" customFormat="1" ht="17.25" customHeight="1">
      <c r="A567" s="163" t="s">
        <v>190</v>
      </c>
      <c r="B567" s="47"/>
      <c r="C567" s="48" t="s">
        <v>170</v>
      </c>
      <c r="D567" s="48" t="s">
        <v>164</v>
      </c>
      <c r="E567" s="49" t="s">
        <v>394</v>
      </c>
      <c r="F567" s="56" t="s">
        <v>178</v>
      </c>
      <c r="G567" s="62">
        <f>G568</f>
        <v>400</v>
      </c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s="10" customFormat="1" ht="15.75">
      <c r="A568" s="253" t="s">
        <v>191</v>
      </c>
      <c r="B568" s="47"/>
      <c r="C568" s="48" t="s">
        <v>170</v>
      </c>
      <c r="D568" s="48" t="s">
        <v>164</v>
      </c>
      <c r="E568" s="49" t="s">
        <v>394</v>
      </c>
      <c r="F568" s="56" t="s">
        <v>192</v>
      </c>
      <c r="G568" s="62">
        <v>400</v>
      </c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7" ht="15.75">
      <c r="A569" s="276" t="s">
        <v>512</v>
      </c>
      <c r="B569" s="51"/>
      <c r="C569" s="45" t="s">
        <v>170</v>
      </c>
      <c r="D569" s="45" t="s">
        <v>164</v>
      </c>
      <c r="E569" s="52" t="s">
        <v>511</v>
      </c>
      <c r="F569" s="57"/>
      <c r="G569" s="58">
        <f>G570</f>
        <v>29298.8</v>
      </c>
    </row>
    <row r="570" spans="1:7" ht="15.75">
      <c r="A570" s="252" t="s">
        <v>513</v>
      </c>
      <c r="B570" s="51"/>
      <c r="C570" s="45" t="s">
        <v>170</v>
      </c>
      <c r="D570" s="45" t="s">
        <v>164</v>
      </c>
      <c r="E570" s="52" t="s">
        <v>281</v>
      </c>
      <c r="F570" s="57"/>
      <c r="G570" s="58">
        <f>G571</f>
        <v>29298.8</v>
      </c>
    </row>
    <row r="571" spans="1:26" s="16" customFormat="1" ht="31.5">
      <c r="A571" s="238" t="s">
        <v>647</v>
      </c>
      <c r="B571" s="47"/>
      <c r="C571" s="48" t="s">
        <v>170</v>
      </c>
      <c r="D571" s="48" t="s">
        <v>164</v>
      </c>
      <c r="E571" s="49" t="s">
        <v>646</v>
      </c>
      <c r="F571" s="56"/>
      <c r="G571" s="62">
        <f>G572</f>
        <v>29298.8</v>
      </c>
      <c r="H571" s="293"/>
      <c r="I571" s="293"/>
      <c r="J571" s="293"/>
      <c r="K571" s="293"/>
      <c r="L571" s="293"/>
      <c r="M571" s="293"/>
      <c r="N571" s="293"/>
      <c r="O571" s="293"/>
      <c r="P571" s="293"/>
      <c r="Q571" s="222"/>
      <c r="R571" s="293"/>
      <c r="S571" s="293"/>
      <c r="T571" s="293"/>
      <c r="U571" s="293"/>
      <c r="V571" s="293"/>
      <c r="W571" s="293"/>
      <c r="X571" s="293"/>
      <c r="Y571" s="293"/>
      <c r="Z571" s="293"/>
    </row>
    <row r="572" spans="1:7" ht="18.75" customHeight="1">
      <c r="A572" s="163" t="s">
        <v>190</v>
      </c>
      <c r="B572" s="47"/>
      <c r="C572" s="48" t="s">
        <v>170</v>
      </c>
      <c r="D572" s="48" t="s">
        <v>164</v>
      </c>
      <c r="E572" s="49" t="s">
        <v>646</v>
      </c>
      <c r="F572" s="56" t="s">
        <v>178</v>
      </c>
      <c r="G572" s="62">
        <f>G573</f>
        <v>29298.8</v>
      </c>
    </row>
    <row r="573" spans="1:7" ht="15.75">
      <c r="A573" s="253" t="s">
        <v>191</v>
      </c>
      <c r="B573" s="47"/>
      <c r="C573" s="48" t="s">
        <v>170</v>
      </c>
      <c r="D573" s="48" t="s">
        <v>164</v>
      </c>
      <c r="E573" s="49" t="s">
        <v>646</v>
      </c>
      <c r="F573" s="56" t="s">
        <v>192</v>
      </c>
      <c r="G573" s="62">
        <v>29298.8</v>
      </c>
    </row>
    <row r="574" spans="1:26" s="16" customFormat="1" ht="15.75">
      <c r="A574" s="234" t="s">
        <v>166</v>
      </c>
      <c r="B574" s="51"/>
      <c r="C574" s="45" t="s">
        <v>129</v>
      </c>
      <c r="D574" s="48"/>
      <c r="E574" s="49"/>
      <c r="F574" s="297"/>
      <c r="G574" s="58">
        <f>G575+G608</f>
        <v>54602.033</v>
      </c>
      <c r="H574" s="293"/>
      <c r="I574" s="293"/>
      <c r="J574" s="293"/>
      <c r="K574" s="293"/>
      <c r="L574" s="293"/>
      <c r="M574" s="293"/>
      <c r="N574" s="293"/>
      <c r="O574" s="293"/>
      <c r="P574" s="293"/>
      <c r="Q574" s="222"/>
      <c r="R574" s="293"/>
      <c r="S574" s="293"/>
      <c r="T574" s="293"/>
      <c r="U574" s="293"/>
      <c r="V574" s="293"/>
      <c r="W574" s="293"/>
      <c r="X574" s="293"/>
      <c r="Y574" s="293"/>
      <c r="Z574" s="293"/>
    </row>
    <row r="575" spans="1:7" ht="18.75" customHeight="1">
      <c r="A575" s="269" t="s">
        <v>240</v>
      </c>
      <c r="B575" s="204"/>
      <c r="C575" s="93" t="s">
        <v>129</v>
      </c>
      <c r="D575" s="93" t="s">
        <v>158</v>
      </c>
      <c r="E575" s="81"/>
      <c r="F575" s="208"/>
      <c r="G575" s="58">
        <f>G576</f>
        <v>52975.033</v>
      </c>
    </row>
    <row r="576" spans="1:7" ht="31.5">
      <c r="A576" s="276" t="s">
        <v>479</v>
      </c>
      <c r="B576" s="51"/>
      <c r="C576" s="93" t="s">
        <v>129</v>
      </c>
      <c r="D576" s="93" t="s">
        <v>158</v>
      </c>
      <c r="E576" s="52" t="s">
        <v>74</v>
      </c>
      <c r="F576" s="57"/>
      <c r="G576" s="58">
        <f>G577</f>
        <v>52975.033</v>
      </c>
    </row>
    <row r="577" spans="1:26" s="16" customFormat="1" ht="31.5">
      <c r="A577" s="234" t="s">
        <v>427</v>
      </c>
      <c r="B577" s="51"/>
      <c r="C577" s="45" t="s">
        <v>129</v>
      </c>
      <c r="D577" s="45" t="s">
        <v>158</v>
      </c>
      <c r="E577" s="52" t="s">
        <v>300</v>
      </c>
      <c r="F577" s="57"/>
      <c r="G577" s="58">
        <f>G578+G581+G584+G587+G590+G593+G596+G599+G602+G605</f>
        <v>52975.033</v>
      </c>
      <c r="H577" s="293"/>
      <c r="I577" s="293"/>
      <c r="J577" s="293"/>
      <c r="K577" s="293"/>
      <c r="L577" s="293"/>
      <c r="M577" s="293"/>
      <c r="N577" s="293"/>
      <c r="O577" s="293"/>
      <c r="P577" s="293"/>
      <c r="Q577" s="222"/>
      <c r="R577" s="293"/>
      <c r="S577" s="293"/>
      <c r="T577" s="293"/>
      <c r="U577" s="293"/>
      <c r="V577" s="293"/>
      <c r="W577" s="293"/>
      <c r="X577" s="293"/>
      <c r="Y577" s="293"/>
      <c r="Z577" s="293"/>
    </row>
    <row r="578" spans="1:7" ht="15.75">
      <c r="A578" s="268" t="s">
        <v>104</v>
      </c>
      <c r="B578" s="47"/>
      <c r="C578" s="48" t="s">
        <v>129</v>
      </c>
      <c r="D578" s="48" t="s">
        <v>158</v>
      </c>
      <c r="E578" s="49" t="s">
        <v>301</v>
      </c>
      <c r="F578" s="56"/>
      <c r="G578" s="62">
        <f>G579</f>
        <v>45030.4</v>
      </c>
    </row>
    <row r="579" spans="1:7" ht="31.5">
      <c r="A579" s="163" t="s">
        <v>190</v>
      </c>
      <c r="B579" s="47"/>
      <c r="C579" s="48" t="s">
        <v>129</v>
      </c>
      <c r="D579" s="48" t="s">
        <v>158</v>
      </c>
      <c r="E579" s="49" t="s">
        <v>301</v>
      </c>
      <c r="F579" s="56" t="s">
        <v>178</v>
      </c>
      <c r="G579" s="62">
        <f>G580</f>
        <v>45030.4</v>
      </c>
    </row>
    <row r="580" spans="1:7" ht="15.75">
      <c r="A580" s="253" t="s">
        <v>191</v>
      </c>
      <c r="B580" s="47"/>
      <c r="C580" s="48" t="s">
        <v>129</v>
      </c>
      <c r="D580" s="48" t="s">
        <v>158</v>
      </c>
      <c r="E580" s="49" t="s">
        <v>301</v>
      </c>
      <c r="F580" s="56" t="s">
        <v>192</v>
      </c>
      <c r="G580" s="62">
        <v>45030.4</v>
      </c>
    </row>
    <row r="581" spans="1:7" ht="15.75">
      <c r="A581" s="257" t="s">
        <v>216</v>
      </c>
      <c r="B581" s="47"/>
      <c r="C581" s="48" t="s">
        <v>129</v>
      </c>
      <c r="D581" s="48" t="s">
        <v>158</v>
      </c>
      <c r="E581" s="49" t="s">
        <v>302</v>
      </c>
      <c r="F581" s="56"/>
      <c r="G581" s="62">
        <f>G582</f>
        <v>228.6</v>
      </c>
    </row>
    <row r="582" spans="1:7" ht="31.5">
      <c r="A582" s="163" t="s">
        <v>190</v>
      </c>
      <c r="B582" s="47"/>
      <c r="C582" s="48" t="s">
        <v>129</v>
      </c>
      <c r="D582" s="48" t="s">
        <v>158</v>
      </c>
      <c r="E582" s="49" t="s">
        <v>302</v>
      </c>
      <c r="F582" s="56" t="s">
        <v>178</v>
      </c>
      <c r="G582" s="62">
        <f>G583</f>
        <v>228.6</v>
      </c>
    </row>
    <row r="583" spans="1:7" ht="15.75">
      <c r="A583" s="253" t="s">
        <v>191</v>
      </c>
      <c r="B583" s="47"/>
      <c r="C583" s="48" t="s">
        <v>129</v>
      </c>
      <c r="D583" s="48" t="s">
        <v>158</v>
      </c>
      <c r="E583" s="49" t="s">
        <v>302</v>
      </c>
      <c r="F583" s="56" t="s">
        <v>192</v>
      </c>
      <c r="G583" s="62">
        <v>228.6</v>
      </c>
    </row>
    <row r="584" spans="1:7" ht="15.75">
      <c r="A584" s="273" t="s">
        <v>105</v>
      </c>
      <c r="B584" s="47"/>
      <c r="C584" s="48" t="s">
        <v>129</v>
      </c>
      <c r="D584" s="48" t="s">
        <v>158</v>
      </c>
      <c r="E584" s="49" t="s">
        <v>303</v>
      </c>
      <c r="F584" s="56"/>
      <c r="G584" s="62">
        <f>G585</f>
        <v>530</v>
      </c>
    </row>
    <row r="585" spans="1:7" ht="31.5">
      <c r="A585" s="163" t="s">
        <v>190</v>
      </c>
      <c r="B585" s="47"/>
      <c r="C585" s="48" t="s">
        <v>129</v>
      </c>
      <c r="D585" s="48" t="s">
        <v>158</v>
      </c>
      <c r="E585" s="49" t="s">
        <v>303</v>
      </c>
      <c r="F585" s="56" t="s">
        <v>178</v>
      </c>
      <c r="G585" s="62">
        <f>G586</f>
        <v>530</v>
      </c>
    </row>
    <row r="586" spans="1:7" ht="15.75">
      <c r="A586" s="253" t="s">
        <v>191</v>
      </c>
      <c r="B586" s="47"/>
      <c r="C586" s="48" t="s">
        <v>129</v>
      </c>
      <c r="D586" s="48" t="s">
        <v>158</v>
      </c>
      <c r="E586" s="49" t="s">
        <v>303</v>
      </c>
      <c r="F586" s="56" t="s">
        <v>192</v>
      </c>
      <c r="G586" s="62">
        <v>530</v>
      </c>
    </row>
    <row r="587" spans="1:7" ht="15.75">
      <c r="A587" s="257" t="s">
        <v>266</v>
      </c>
      <c r="B587" s="66"/>
      <c r="C587" s="48" t="s">
        <v>129</v>
      </c>
      <c r="D587" s="48" t="s">
        <v>158</v>
      </c>
      <c r="E587" s="49" t="s">
        <v>306</v>
      </c>
      <c r="F587" s="56"/>
      <c r="G587" s="62">
        <f>G588</f>
        <v>148</v>
      </c>
    </row>
    <row r="588" spans="1:7" ht="31.5">
      <c r="A588" s="163" t="s">
        <v>190</v>
      </c>
      <c r="B588" s="66"/>
      <c r="C588" s="48" t="s">
        <v>129</v>
      </c>
      <c r="D588" s="48" t="s">
        <v>158</v>
      </c>
      <c r="E588" s="49" t="s">
        <v>306</v>
      </c>
      <c r="F588" s="56" t="s">
        <v>178</v>
      </c>
      <c r="G588" s="62">
        <f>G589</f>
        <v>148</v>
      </c>
    </row>
    <row r="589" spans="1:7" ht="15.75">
      <c r="A589" s="253" t="s">
        <v>191</v>
      </c>
      <c r="B589" s="66"/>
      <c r="C589" s="48" t="s">
        <v>129</v>
      </c>
      <c r="D589" s="48" t="s">
        <v>158</v>
      </c>
      <c r="E589" s="49" t="s">
        <v>306</v>
      </c>
      <c r="F589" s="56" t="s">
        <v>192</v>
      </c>
      <c r="G589" s="62">
        <v>148</v>
      </c>
    </row>
    <row r="590" spans="1:7" ht="15.75">
      <c r="A590" s="257" t="s">
        <v>268</v>
      </c>
      <c r="B590" s="66"/>
      <c r="C590" s="48" t="s">
        <v>129</v>
      </c>
      <c r="D590" s="48" t="s">
        <v>158</v>
      </c>
      <c r="E590" s="49" t="s">
        <v>304</v>
      </c>
      <c r="F590" s="56"/>
      <c r="G590" s="62">
        <f>G591</f>
        <v>554</v>
      </c>
    </row>
    <row r="591" spans="1:7" ht="31.5">
      <c r="A591" s="163" t="s">
        <v>190</v>
      </c>
      <c r="B591" s="66"/>
      <c r="C591" s="48" t="s">
        <v>129</v>
      </c>
      <c r="D591" s="48" t="s">
        <v>158</v>
      </c>
      <c r="E591" s="49" t="s">
        <v>304</v>
      </c>
      <c r="F591" s="56" t="s">
        <v>178</v>
      </c>
      <c r="G591" s="62">
        <f>G592</f>
        <v>554</v>
      </c>
    </row>
    <row r="592" spans="1:7" ht="15.75">
      <c r="A592" s="253" t="s">
        <v>191</v>
      </c>
      <c r="B592" s="66"/>
      <c r="C592" s="48" t="s">
        <v>129</v>
      </c>
      <c r="D592" s="48" t="s">
        <v>158</v>
      </c>
      <c r="E592" s="49" t="s">
        <v>304</v>
      </c>
      <c r="F592" s="56" t="s">
        <v>192</v>
      </c>
      <c r="G592" s="62">
        <v>554</v>
      </c>
    </row>
    <row r="593" spans="1:7" ht="15.75">
      <c r="A593" s="257" t="s">
        <v>269</v>
      </c>
      <c r="B593" s="66"/>
      <c r="C593" s="48" t="s">
        <v>129</v>
      </c>
      <c r="D593" s="48" t="s">
        <v>158</v>
      </c>
      <c r="E593" s="49" t="s">
        <v>305</v>
      </c>
      <c r="F593" s="56"/>
      <c r="G593" s="62">
        <f>G594</f>
        <v>120.9</v>
      </c>
    </row>
    <row r="594" spans="1:7" ht="31.5">
      <c r="A594" s="163" t="s">
        <v>190</v>
      </c>
      <c r="B594" s="66"/>
      <c r="C594" s="48" t="s">
        <v>129</v>
      </c>
      <c r="D594" s="48" t="s">
        <v>158</v>
      </c>
      <c r="E594" s="49" t="s">
        <v>305</v>
      </c>
      <c r="F594" s="56" t="s">
        <v>178</v>
      </c>
      <c r="G594" s="62">
        <f>G595</f>
        <v>120.9</v>
      </c>
    </row>
    <row r="595" spans="1:7" ht="15.75">
      <c r="A595" s="253" t="s">
        <v>191</v>
      </c>
      <c r="B595" s="66"/>
      <c r="C595" s="48" t="s">
        <v>129</v>
      </c>
      <c r="D595" s="48" t="s">
        <v>158</v>
      </c>
      <c r="E595" s="49" t="s">
        <v>305</v>
      </c>
      <c r="F595" s="56" t="s">
        <v>192</v>
      </c>
      <c r="G595" s="62">
        <v>120.9</v>
      </c>
    </row>
    <row r="596" spans="1:7" ht="31.5">
      <c r="A596" s="235" t="s">
        <v>559</v>
      </c>
      <c r="B596" s="66"/>
      <c r="C596" s="48" t="s">
        <v>129</v>
      </c>
      <c r="D596" s="48" t="s">
        <v>158</v>
      </c>
      <c r="E596" s="56" t="s">
        <v>560</v>
      </c>
      <c r="F596" s="56"/>
      <c r="G596" s="62">
        <f>G597</f>
        <v>100</v>
      </c>
    </row>
    <row r="597" spans="1:7" ht="31.5">
      <c r="A597" s="163" t="s">
        <v>190</v>
      </c>
      <c r="B597" s="66"/>
      <c r="C597" s="48" t="s">
        <v>129</v>
      </c>
      <c r="D597" s="48" t="s">
        <v>158</v>
      </c>
      <c r="E597" s="56" t="s">
        <v>560</v>
      </c>
      <c r="F597" s="56" t="s">
        <v>178</v>
      </c>
      <c r="G597" s="62">
        <f>G598</f>
        <v>100</v>
      </c>
    </row>
    <row r="598" spans="1:7" ht="15.75">
      <c r="A598" s="235" t="s">
        <v>191</v>
      </c>
      <c r="B598" s="66"/>
      <c r="C598" s="48" t="s">
        <v>129</v>
      </c>
      <c r="D598" s="48" t="s">
        <v>158</v>
      </c>
      <c r="E598" s="56" t="s">
        <v>560</v>
      </c>
      <c r="F598" s="56" t="s">
        <v>192</v>
      </c>
      <c r="G598" s="62">
        <v>100</v>
      </c>
    </row>
    <row r="599" spans="1:7" ht="15.75">
      <c r="A599" s="235" t="s">
        <v>561</v>
      </c>
      <c r="B599" s="66"/>
      <c r="C599" s="48" t="s">
        <v>129</v>
      </c>
      <c r="D599" s="48" t="s">
        <v>158</v>
      </c>
      <c r="E599" s="56" t="s">
        <v>562</v>
      </c>
      <c r="F599" s="56"/>
      <c r="G599" s="62">
        <f>G600</f>
        <v>222.5</v>
      </c>
    </row>
    <row r="600" spans="1:7" ht="31.5">
      <c r="A600" s="163" t="s">
        <v>190</v>
      </c>
      <c r="B600" s="66"/>
      <c r="C600" s="48" t="s">
        <v>129</v>
      </c>
      <c r="D600" s="48" t="s">
        <v>158</v>
      </c>
      <c r="E600" s="56" t="s">
        <v>562</v>
      </c>
      <c r="F600" s="56" t="s">
        <v>178</v>
      </c>
      <c r="G600" s="62">
        <f>G601</f>
        <v>222.5</v>
      </c>
    </row>
    <row r="601" spans="1:7" ht="15.75">
      <c r="A601" s="235" t="s">
        <v>191</v>
      </c>
      <c r="B601" s="66"/>
      <c r="C601" s="48" t="s">
        <v>129</v>
      </c>
      <c r="D601" s="48" t="s">
        <v>158</v>
      </c>
      <c r="E601" s="56" t="s">
        <v>562</v>
      </c>
      <c r="F601" s="56" t="s">
        <v>192</v>
      </c>
      <c r="G601" s="62">
        <v>222.5</v>
      </c>
    </row>
    <row r="602" spans="1:7" ht="63">
      <c r="A602" s="263" t="s">
        <v>365</v>
      </c>
      <c r="B602" s="66"/>
      <c r="C602" s="48" t="s">
        <v>129</v>
      </c>
      <c r="D602" s="48" t="s">
        <v>158</v>
      </c>
      <c r="E602" s="56" t="s">
        <v>364</v>
      </c>
      <c r="F602" s="56"/>
      <c r="G602" s="62">
        <f>G603</f>
        <v>5900.633</v>
      </c>
    </row>
    <row r="603" spans="1:7" ht="31.5">
      <c r="A603" s="163" t="s">
        <v>190</v>
      </c>
      <c r="B603" s="66"/>
      <c r="C603" s="48" t="s">
        <v>129</v>
      </c>
      <c r="D603" s="48" t="s">
        <v>158</v>
      </c>
      <c r="E603" s="56" t="s">
        <v>364</v>
      </c>
      <c r="F603" s="56" t="s">
        <v>178</v>
      </c>
      <c r="G603" s="62">
        <f>G604</f>
        <v>5900.633</v>
      </c>
    </row>
    <row r="604" spans="1:7" ht="15.75">
      <c r="A604" s="253" t="s">
        <v>191</v>
      </c>
      <c r="B604" s="66"/>
      <c r="C604" s="48" t="s">
        <v>129</v>
      </c>
      <c r="D604" s="48" t="s">
        <v>158</v>
      </c>
      <c r="E604" s="56" t="s">
        <v>364</v>
      </c>
      <c r="F604" s="56" t="s">
        <v>192</v>
      </c>
      <c r="G604" s="62">
        <f>5369.533+404.2+126.9</f>
        <v>5900.633</v>
      </c>
    </row>
    <row r="605" spans="1:7" ht="63">
      <c r="A605" s="264" t="s">
        <v>249</v>
      </c>
      <c r="B605" s="86"/>
      <c r="C605" s="80" t="s">
        <v>129</v>
      </c>
      <c r="D605" s="80" t="s">
        <v>158</v>
      </c>
      <c r="E605" s="81" t="s">
        <v>307</v>
      </c>
      <c r="F605" s="76"/>
      <c r="G605" s="70">
        <f>G606</f>
        <v>140</v>
      </c>
    </row>
    <row r="606" spans="1:26" s="307" customFormat="1" ht="27" customHeight="1">
      <c r="A606" s="260" t="s">
        <v>190</v>
      </c>
      <c r="B606" s="86"/>
      <c r="C606" s="80" t="s">
        <v>129</v>
      </c>
      <c r="D606" s="80" t="s">
        <v>158</v>
      </c>
      <c r="E606" s="81" t="s">
        <v>307</v>
      </c>
      <c r="F606" s="76" t="s">
        <v>178</v>
      </c>
      <c r="G606" s="70">
        <f>G607</f>
        <v>140</v>
      </c>
      <c r="H606" s="336"/>
      <c r="I606" s="336"/>
      <c r="J606" s="336"/>
      <c r="K606" s="336"/>
      <c r="L606" s="336"/>
      <c r="M606" s="336"/>
      <c r="N606" s="336"/>
      <c r="O606" s="336"/>
      <c r="P606" s="336"/>
      <c r="Q606" s="337"/>
      <c r="R606" s="336"/>
      <c r="S606" s="336"/>
      <c r="T606" s="336"/>
      <c r="U606" s="336"/>
      <c r="V606" s="336"/>
      <c r="W606" s="336"/>
      <c r="X606" s="336"/>
      <c r="Y606" s="336"/>
      <c r="Z606" s="336"/>
    </row>
    <row r="607" spans="1:26" s="307" customFormat="1" ht="15.75">
      <c r="A607" s="261" t="s">
        <v>191</v>
      </c>
      <c r="B607" s="86"/>
      <c r="C607" s="80" t="s">
        <v>129</v>
      </c>
      <c r="D607" s="80" t="s">
        <v>158</v>
      </c>
      <c r="E607" s="81" t="s">
        <v>307</v>
      </c>
      <c r="F607" s="76" t="s">
        <v>192</v>
      </c>
      <c r="G607" s="70">
        <f>150-10</f>
        <v>140</v>
      </c>
      <c r="H607" s="336"/>
      <c r="I607" s="336"/>
      <c r="J607" s="336"/>
      <c r="K607" s="336"/>
      <c r="L607" s="336"/>
      <c r="M607" s="336"/>
      <c r="N607" s="336"/>
      <c r="O607" s="336"/>
      <c r="P607" s="336"/>
      <c r="Q607" s="337"/>
      <c r="R607" s="336"/>
      <c r="S607" s="336"/>
      <c r="T607" s="336"/>
      <c r="U607" s="336"/>
      <c r="V607" s="336"/>
      <c r="W607" s="336"/>
      <c r="X607" s="336"/>
      <c r="Y607" s="336"/>
      <c r="Z607" s="336"/>
    </row>
    <row r="608" spans="1:26" s="307" customFormat="1" ht="15.75">
      <c r="A608" s="234" t="s">
        <v>233</v>
      </c>
      <c r="B608" s="51"/>
      <c r="C608" s="45" t="s">
        <v>129</v>
      </c>
      <c r="D608" s="45" t="s">
        <v>129</v>
      </c>
      <c r="E608" s="52"/>
      <c r="F608" s="57"/>
      <c r="G608" s="58">
        <f>G609</f>
        <v>1627</v>
      </c>
      <c r="H608" s="336"/>
      <c r="I608" s="336"/>
      <c r="J608" s="336"/>
      <c r="K608" s="336"/>
      <c r="L608" s="336"/>
      <c r="M608" s="336"/>
      <c r="N608" s="336"/>
      <c r="O608" s="336"/>
      <c r="P608" s="336"/>
      <c r="Q608" s="337"/>
      <c r="R608" s="336"/>
      <c r="S608" s="336"/>
      <c r="T608" s="336"/>
      <c r="U608" s="336"/>
      <c r="V608" s="336"/>
      <c r="W608" s="336"/>
      <c r="X608" s="336"/>
      <c r="Y608" s="336"/>
      <c r="Z608" s="336"/>
    </row>
    <row r="609" spans="1:26" s="307" customFormat="1" ht="15.75">
      <c r="A609" s="252" t="s">
        <v>550</v>
      </c>
      <c r="B609" s="51"/>
      <c r="C609" s="45" t="s">
        <v>129</v>
      </c>
      <c r="D609" s="45" t="s">
        <v>129</v>
      </c>
      <c r="E609" s="52" t="s">
        <v>337</v>
      </c>
      <c r="F609" s="57"/>
      <c r="G609" s="58">
        <f>G610+G617+G620+G623</f>
        <v>1627</v>
      </c>
      <c r="H609" s="336"/>
      <c r="I609" s="336"/>
      <c r="J609" s="336"/>
      <c r="K609" s="336"/>
      <c r="L609" s="336"/>
      <c r="M609" s="336"/>
      <c r="N609" s="336"/>
      <c r="O609" s="336"/>
      <c r="P609" s="336"/>
      <c r="Q609" s="337"/>
      <c r="R609" s="336"/>
      <c r="S609" s="336"/>
      <c r="T609" s="336"/>
      <c r="U609" s="336"/>
      <c r="V609" s="336"/>
      <c r="W609" s="336"/>
      <c r="X609" s="336"/>
      <c r="Y609" s="336"/>
      <c r="Z609" s="336"/>
    </row>
    <row r="610" spans="1:26" s="308" customFormat="1" ht="16.5" customHeight="1">
      <c r="A610" s="268" t="s">
        <v>98</v>
      </c>
      <c r="B610" s="66"/>
      <c r="C610" s="48" t="s">
        <v>129</v>
      </c>
      <c r="D610" s="48" t="s">
        <v>129</v>
      </c>
      <c r="E610" s="49" t="s">
        <v>352</v>
      </c>
      <c r="F610" s="56"/>
      <c r="G610" s="62">
        <f>G612+G614+G616</f>
        <v>1047</v>
      </c>
      <c r="H610" s="337"/>
      <c r="I610" s="337"/>
      <c r="J610" s="337"/>
      <c r="K610" s="337"/>
      <c r="L610" s="337"/>
      <c r="M610" s="337"/>
      <c r="N610" s="337"/>
      <c r="O610" s="337"/>
      <c r="P610" s="337"/>
      <c r="Q610" s="337"/>
      <c r="R610" s="337"/>
      <c r="S610" s="337"/>
      <c r="T610" s="337"/>
      <c r="U610" s="337"/>
      <c r="V610" s="337"/>
      <c r="W610" s="337"/>
      <c r="X610" s="337"/>
      <c r="Y610" s="337"/>
      <c r="Z610" s="337"/>
    </row>
    <row r="611" spans="1:26" s="307" customFormat="1" ht="47.25">
      <c r="A611" s="237" t="s">
        <v>116</v>
      </c>
      <c r="B611" s="66"/>
      <c r="C611" s="48" t="s">
        <v>129</v>
      </c>
      <c r="D611" s="48" t="s">
        <v>129</v>
      </c>
      <c r="E611" s="49" t="s">
        <v>352</v>
      </c>
      <c r="F611" s="56" t="s">
        <v>198</v>
      </c>
      <c r="G611" s="62">
        <f>G612</f>
        <v>140</v>
      </c>
      <c r="H611" s="336"/>
      <c r="I611" s="336"/>
      <c r="J611" s="336"/>
      <c r="K611" s="336"/>
      <c r="L611" s="336"/>
      <c r="M611" s="336"/>
      <c r="N611" s="336"/>
      <c r="O611" s="336"/>
      <c r="P611" s="336"/>
      <c r="Q611" s="337"/>
      <c r="R611" s="336"/>
      <c r="S611" s="336"/>
      <c r="T611" s="336"/>
      <c r="U611" s="336"/>
      <c r="V611" s="336"/>
      <c r="W611" s="336"/>
      <c r="X611" s="336"/>
      <c r="Y611" s="336"/>
      <c r="Z611" s="336"/>
    </row>
    <row r="612" spans="1:26" s="307" customFormat="1" ht="15.75">
      <c r="A612" s="257" t="s">
        <v>193</v>
      </c>
      <c r="B612" s="66"/>
      <c r="C612" s="48" t="s">
        <v>129</v>
      </c>
      <c r="D612" s="48" t="s">
        <v>129</v>
      </c>
      <c r="E612" s="49" t="s">
        <v>352</v>
      </c>
      <c r="F612" s="56" t="s">
        <v>194</v>
      </c>
      <c r="G612" s="62">
        <v>140</v>
      </c>
      <c r="H612" s="336"/>
      <c r="I612" s="336"/>
      <c r="J612" s="336"/>
      <c r="K612" s="336"/>
      <c r="L612" s="336"/>
      <c r="M612" s="336"/>
      <c r="N612" s="336"/>
      <c r="O612" s="336"/>
      <c r="P612" s="336"/>
      <c r="Q612" s="337"/>
      <c r="R612" s="336"/>
      <c r="S612" s="336"/>
      <c r="T612" s="336"/>
      <c r="U612" s="336"/>
      <c r="V612" s="336"/>
      <c r="W612" s="336"/>
      <c r="X612" s="336"/>
      <c r="Y612" s="336"/>
      <c r="Z612" s="336"/>
    </row>
    <row r="613" spans="1:26" s="307" customFormat="1" ht="15.75" customHeight="1">
      <c r="A613" s="237" t="s">
        <v>226</v>
      </c>
      <c r="B613" s="66"/>
      <c r="C613" s="48" t="s">
        <v>129</v>
      </c>
      <c r="D613" s="48" t="s">
        <v>129</v>
      </c>
      <c r="E613" s="49" t="s">
        <v>352</v>
      </c>
      <c r="F613" s="56" t="s">
        <v>188</v>
      </c>
      <c r="G613" s="62">
        <f>G614</f>
        <v>523</v>
      </c>
      <c r="H613" s="336"/>
      <c r="I613" s="336"/>
      <c r="J613" s="336"/>
      <c r="K613" s="336"/>
      <c r="L613" s="336"/>
      <c r="M613" s="336"/>
      <c r="N613" s="336"/>
      <c r="O613" s="336"/>
      <c r="P613" s="336"/>
      <c r="Q613" s="337"/>
      <c r="R613" s="336"/>
      <c r="S613" s="336"/>
      <c r="T613" s="336"/>
      <c r="U613" s="336"/>
      <c r="V613" s="336"/>
      <c r="W613" s="336"/>
      <c r="X613" s="336"/>
      <c r="Y613" s="336"/>
      <c r="Z613" s="336"/>
    </row>
    <row r="614" spans="1:26" s="307" customFormat="1" ht="15.75">
      <c r="A614" s="257" t="s">
        <v>189</v>
      </c>
      <c r="B614" s="66"/>
      <c r="C614" s="48" t="s">
        <v>129</v>
      </c>
      <c r="D614" s="48" t="s">
        <v>129</v>
      </c>
      <c r="E614" s="49" t="s">
        <v>352</v>
      </c>
      <c r="F614" s="56" t="s">
        <v>187</v>
      </c>
      <c r="G614" s="62">
        <f>263+500-240</f>
        <v>523</v>
      </c>
      <c r="H614" s="336"/>
      <c r="I614" s="336"/>
      <c r="J614" s="336"/>
      <c r="K614" s="336"/>
      <c r="L614" s="336"/>
      <c r="M614" s="336"/>
      <c r="N614" s="336"/>
      <c r="O614" s="336"/>
      <c r="P614" s="336"/>
      <c r="Q614" s="337"/>
      <c r="R614" s="336"/>
      <c r="S614" s="336"/>
      <c r="T614" s="336"/>
      <c r="U614" s="336"/>
      <c r="V614" s="336"/>
      <c r="W614" s="336"/>
      <c r="X614" s="336"/>
      <c r="Y614" s="336"/>
      <c r="Z614" s="336"/>
    </row>
    <row r="615" spans="1:26" s="307" customFormat="1" ht="31.5">
      <c r="A615" s="163" t="s">
        <v>190</v>
      </c>
      <c r="B615" s="66"/>
      <c r="C615" s="48" t="s">
        <v>129</v>
      </c>
      <c r="D615" s="48" t="s">
        <v>129</v>
      </c>
      <c r="E615" s="49" t="s">
        <v>352</v>
      </c>
      <c r="F615" s="56" t="s">
        <v>178</v>
      </c>
      <c r="G615" s="62">
        <f>G616</f>
        <v>384</v>
      </c>
      <c r="H615" s="336"/>
      <c r="I615" s="336"/>
      <c r="J615" s="336"/>
      <c r="K615" s="336"/>
      <c r="L615" s="336"/>
      <c r="M615" s="336"/>
      <c r="N615" s="336"/>
      <c r="O615" s="336"/>
      <c r="P615" s="336"/>
      <c r="Q615" s="337"/>
      <c r="R615" s="336"/>
      <c r="S615" s="336"/>
      <c r="T615" s="336"/>
      <c r="U615" s="336"/>
      <c r="V615" s="336"/>
      <c r="W615" s="336"/>
      <c r="X615" s="336"/>
      <c r="Y615" s="336"/>
      <c r="Z615" s="336"/>
    </row>
    <row r="616" spans="1:26" s="307" customFormat="1" ht="15.75">
      <c r="A616" s="253" t="s">
        <v>191</v>
      </c>
      <c r="B616" s="66"/>
      <c r="C616" s="48" t="s">
        <v>129</v>
      </c>
      <c r="D616" s="48" t="s">
        <v>129</v>
      </c>
      <c r="E616" s="49" t="s">
        <v>352</v>
      </c>
      <c r="F616" s="56" t="s">
        <v>192</v>
      </c>
      <c r="G616" s="62">
        <v>384</v>
      </c>
      <c r="H616" s="336"/>
      <c r="I616" s="336"/>
      <c r="J616" s="336"/>
      <c r="K616" s="336"/>
      <c r="L616" s="336"/>
      <c r="M616" s="336"/>
      <c r="N616" s="336"/>
      <c r="O616" s="336"/>
      <c r="P616" s="336"/>
      <c r="Q616" s="337"/>
      <c r="R616" s="336"/>
      <c r="S616" s="336"/>
      <c r="T616" s="336"/>
      <c r="U616" s="336"/>
      <c r="V616" s="336"/>
      <c r="W616" s="336"/>
      <c r="X616" s="336"/>
      <c r="Y616" s="336"/>
      <c r="Z616" s="336"/>
    </row>
    <row r="617" spans="1:26" s="307" customFormat="1" ht="15.75">
      <c r="A617" s="300" t="s">
        <v>555</v>
      </c>
      <c r="B617" s="66"/>
      <c r="C617" s="48" t="s">
        <v>129</v>
      </c>
      <c r="D617" s="48" t="s">
        <v>129</v>
      </c>
      <c r="E617" s="56" t="s">
        <v>554</v>
      </c>
      <c r="F617" s="56"/>
      <c r="G617" s="62">
        <f>G618</f>
        <v>30</v>
      </c>
      <c r="H617" s="336"/>
      <c r="I617" s="336"/>
      <c r="J617" s="336"/>
      <c r="K617" s="336"/>
      <c r="L617" s="336"/>
      <c r="M617" s="336"/>
      <c r="N617" s="336"/>
      <c r="O617" s="336"/>
      <c r="P617" s="336"/>
      <c r="Q617" s="337"/>
      <c r="R617" s="336"/>
      <c r="S617" s="336"/>
      <c r="T617" s="336"/>
      <c r="U617" s="336"/>
      <c r="V617" s="336"/>
      <c r="W617" s="336"/>
      <c r="X617" s="336"/>
      <c r="Y617" s="336"/>
      <c r="Z617" s="336"/>
    </row>
    <row r="618" spans="1:26" s="307" customFormat="1" ht="31.5">
      <c r="A618" s="163" t="s">
        <v>190</v>
      </c>
      <c r="B618" s="66"/>
      <c r="C618" s="48" t="s">
        <v>129</v>
      </c>
      <c r="D618" s="48" t="s">
        <v>129</v>
      </c>
      <c r="E618" s="76" t="s">
        <v>554</v>
      </c>
      <c r="F618" s="76" t="s">
        <v>178</v>
      </c>
      <c r="G618" s="62">
        <f>G619</f>
        <v>30</v>
      </c>
      <c r="H618" s="336"/>
      <c r="I618" s="336"/>
      <c r="J618" s="336"/>
      <c r="K618" s="336"/>
      <c r="L618" s="336"/>
      <c r="M618" s="336"/>
      <c r="N618" s="336"/>
      <c r="O618" s="336"/>
      <c r="P618" s="336"/>
      <c r="Q618" s="337"/>
      <c r="R618" s="336"/>
      <c r="S618" s="336"/>
      <c r="T618" s="336"/>
      <c r="U618" s="336"/>
      <c r="V618" s="336"/>
      <c r="W618" s="336"/>
      <c r="X618" s="336"/>
      <c r="Y618" s="336"/>
      <c r="Z618" s="336"/>
    </row>
    <row r="619" spans="1:26" s="307" customFormat="1" ht="15.75">
      <c r="A619" s="253" t="s">
        <v>191</v>
      </c>
      <c r="B619" s="66"/>
      <c r="C619" s="48" t="s">
        <v>129</v>
      </c>
      <c r="D619" s="48" t="s">
        <v>129</v>
      </c>
      <c r="E619" s="76" t="s">
        <v>554</v>
      </c>
      <c r="F619" s="76" t="s">
        <v>192</v>
      </c>
      <c r="G619" s="62">
        <v>30</v>
      </c>
      <c r="H619" s="336"/>
      <c r="I619" s="336"/>
      <c r="J619" s="336"/>
      <c r="K619" s="336"/>
      <c r="L619" s="336"/>
      <c r="M619" s="336"/>
      <c r="N619" s="336"/>
      <c r="O619" s="336"/>
      <c r="P619" s="336"/>
      <c r="Q619" s="337"/>
      <c r="R619" s="336"/>
      <c r="S619" s="336"/>
      <c r="T619" s="336"/>
      <c r="U619" s="336"/>
      <c r="V619" s="336"/>
      <c r="W619" s="336"/>
      <c r="X619" s="336"/>
      <c r="Y619" s="336"/>
      <c r="Z619" s="336"/>
    </row>
    <row r="620" spans="1:26" s="307" customFormat="1" ht="31.5">
      <c r="A620" s="235" t="s">
        <v>563</v>
      </c>
      <c r="B620" s="66"/>
      <c r="C620" s="48" t="s">
        <v>129</v>
      </c>
      <c r="D620" s="48" t="s">
        <v>129</v>
      </c>
      <c r="E620" s="49" t="s">
        <v>564</v>
      </c>
      <c r="F620" s="56"/>
      <c r="G620" s="62">
        <f>G621</f>
        <v>110</v>
      </c>
      <c r="H620" s="336"/>
      <c r="I620" s="336"/>
      <c r="J620" s="336"/>
      <c r="K620" s="336"/>
      <c r="L620" s="336"/>
      <c r="M620" s="336"/>
      <c r="N620" s="336"/>
      <c r="O620" s="336"/>
      <c r="P620" s="336"/>
      <c r="Q620" s="337"/>
      <c r="R620" s="336"/>
      <c r="S620" s="336"/>
      <c r="T620" s="336"/>
      <c r="U620" s="336"/>
      <c r="V620" s="336"/>
      <c r="W620" s="336"/>
      <c r="X620" s="336"/>
      <c r="Y620" s="336"/>
      <c r="Z620" s="336"/>
    </row>
    <row r="621" spans="1:26" s="307" customFormat="1" ht="31.5">
      <c r="A621" s="163" t="s">
        <v>190</v>
      </c>
      <c r="B621" s="66"/>
      <c r="C621" s="48" t="s">
        <v>129</v>
      </c>
      <c r="D621" s="48" t="s">
        <v>129</v>
      </c>
      <c r="E621" s="49" t="s">
        <v>564</v>
      </c>
      <c r="F621" s="56" t="s">
        <v>188</v>
      </c>
      <c r="G621" s="62">
        <f>G622</f>
        <v>110</v>
      </c>
      <c r="H621" s="336"/>
      <c r="I621" s="336"/>
      <c r="J621" s="336"/>
      <c r="K621" s="336"/>
      <c r="L621" s="336"/>
      <c r="M621" s="336"/>
      <c r="N621" s="336"/>
      <c r="O621" s="336"/>
      <c r="P621" s="336"/>
      <c r="Q621" s="337"/>
      <c r="R621" s="336"/>
      <c r="S621" s="336"/>
      <c r="T621" s="336"/>
      <c r="U621" s="336"/>
      <c r="V621" s="336"/>
      <c r="W621" s="336"/>
      <c r="X621" s="336"/>
      <c r="Y621" s="336"/>
      <c r="Z621" s="336"/>
    </row>
    <row r="622" spans="1:26" s="307" customFormat="1" ht="15.75">
      <c r="A622" s="253" t="s">
        <v>191</v>
      </c>
      <c r="B622" s="66"/>
      <c r="C622" s="48" t="s">
        <v>129</v>
      </c>
      <c r="D622" s="48" t="s">
        <v>129</v>
      </c>
      <c r="E622" s="49" t="s">
        <v>564</v>
      </c>
      <c r="F622" s="56" t="s">
        <v>187</v>
      </c>
      <c r="G622" s="62">
        <v>110</v>
      </c>
      <c r="H622" s="336"/>
      <c r="I622" s="346"/>
      <c r="J622" s="336"/>
      <c r="K622" s="336"/>
      <c r="L622" s="336"/>
      <c r="M622" s="336"/>
      <c r="N622" s="336"/>
      <c r="O622" s="336"/>
      <c r="P622" s="336"/>
      <c r="Q622" s="337"/>
      <c r="R622" s="336"/>
      <c r="S622" s="336"/>
      <c r="T622" s="336"/>
      <c r="U622" s="336"/>
      <c r="V622" s="336"/>
      <c r="W622" s="336"/>
      <c r="X622" s="336"/>
      <c r="Y622" s="336"/>
      <c r="Z622" s="336"/>
    </row>
    <row r="623" spans="1:17" ht="16.5" customHeight="1">
      <c r="A623" s="277" t="s">
        <v>309</v>
      </c>
      <c r="B623" s="66"/>
      <c r="C623" s="48" t="s">
        <v>129</v>
      </c>
      <c r="D623" s="48" t="s">
        <v>129</v>
      </c>
      <c r="E623" s="49" t="s">
        <v>372</v>
      </c>
      <c r="F623" s="56"/>
      <c r="G623" s="62">
        <f>G624</f>
        <v>440</v>
      </c>
      <c r="I623" s="333"/>
      <c r="Q623" s="334"/>
    </row>
    <row r="624" spans="1:7" ht="31.5">
      <c r="A624" s="163" t="s">
        <v>190</v>
      </c>
      <c r="B624" s="66"/>
      <c r="C624" s="48" t="s">
        <v>129</v>
      </c>
      <c r="D624" s="48" t="s">
        <v>129</v>
      </c>
      <c r="E624" s="49" t="s">
        <v>372</v>
      </c>
      <c r="F624" s="56" t="s">
        <v>178</v>
      </c>
      <c r="G624" s="62">
        <f>G625</f>
        <v>440</v>
      </c>
    </row>
    <row r="625" spans="1:9" ht="15.75">
      <c r="A625" s="253" t="s">
        <v>191</v>
      </c>
      <c r="B625" s="66"/>
      <c r="C625" s="48" t="s">
        <v>129</v>
      </c>
      <c r="D625" s="48" t="s">
        <v>129</v>
      </c>
      <c r="E625" s="49" t="s">
        <v>372</v>
      </c>
      <c r="F625" s="56" t="s">
        <v>192</v>
      </c>
      <c r="G625" s="62">
        <v>440</v>
      </c>
      <c r="I625" s="333"/>
    </row>
    <row r="626" spans="1:7" ht="15.75">
      <c r="A626" s="278" t="s">
        <v>256</v>
      </c>
      <c r="B626" s="51"/>
      <c r="C626" s="45" t="s">
        <v>160</v>
      </c>
      <c r="D626" s="45"/>
      <c r="E626" s="52"/>
      <c r="F626" s="57"/>
      <c r="G626" s="58">
        <f>G627</f>
        <v>277781.42000000004</v>
      </c>
    </row>
    <row r="627" spans="1:7" ht="18.75" customHeight="1">
      <c r="A627" s="278" t="s">
        <v>161</v>
      </c>
      <c r="B627" s="51"/>
      <c r="C627" s="45" t="s">
        <v>160</v>
      </c>
      <c r="D627" s="45" t="s">
        <v>157</v>
      </c>
      <c r="E627" s="52"/>
      <c r="F627" s="57"/>
      <c r="G627" s="58">
        <f>G628+G675</f>
        <v>277781.42000000004</v>
      </c>
    </row>
    <row r="628" spans="1:9" ht="31.5">
      <c r="A628" s="276" t="s">
        <v>479</v>
      </c>
      <c r="B628" s="47"/>
      <c r="C628" s="45" t="s">
        <v>160</v>
      </c>
      <c r="D628" s="45" t="s">
        <v>157</v>
      </c>
      <c r="E628" s="52" t="s">
        <v>74</v>
      </c>
      <c r="F628" s="57"/>
      <c r="G628" s="58">
        <f>G629</f>
        <v>147196.80000000002</v>
      </c>
      <c r="I628" s="333"/>
    </row>
    <row r="629" spans="1:9" ht="16.5" customHeight="1">
      <c r="A629" s="279" t="s">
        <v>480</v>
      </c>
      <c r="B629" s="51"/>
      <c r="C629" s="45" t="s">
        <v>160</v>
      </c>
      <c r="D629" s="45" t="s">
        <v>157</v>
      </c>
      <c r="E629" s="57" t="s">
        <v>75</v>
      </c>
      <c r="F629" s="56"/>
      <c r="G629" s="58">
        <f>G630+G633+G636+G639+G642+G645+G648+G651+G654+G657+G660+G663+G666+G669+G672</f>
        <v>147196.80000000002</v>
      </c>
      <c r="I629" s="333"/>
    </row>
    <row r="630" spans="1:7" ht="15.75">
      <c r="A630" s="280" t="s">
        <v>292</v>
      </c>
      <c r="B630" s="47"/>
      <c r="C630" s="48" t="s">
        <v>160</v>
      </c>
      <c r="D630" s="48" t="s">
        <v>157</v>
      </c>
      <c r="E630" s="56" t="s">
        <v>223</v>
      </c>
      <c r="F630" s="56"/>
      <c r="G630" s="62">
        <f>G631</f>
        <v>112073.4</v>
      </c>
    </row>
    <row r="631" spans="1:7" ht="31.5">
      <c r="A631" s="163" t="s">
        <v>190</v>
      </c>
      <c r="B631" s="47"/>
      <c r="C631" s="48" t="s">
        <v>160</v>
      </c>
      <c r="D631" s="48" t="s">
        <v>157</v>
      </c>
      <c r="E631" s="56" t="s">
        <v>223</v>
      </c>
      <c r="F631" s="56" t="s">
        <v>178</v>
      </c>
      <c r="G631" s="70">
        <f>G632</f>
        <v>112073.4</v>
      </c>
    </row>
    <row r="632" spans="1:7" ht="15.75">
      <c r="A632" s="235" t="s">
        <v>191</v>
      </c>
      <c r="B632" s="47"/>
      <c r="C632" s="48" t="s">
        <v>160</v>
      </c>
      <c r="D632" s="48" t="s">
        <v>157</v>
      </c>
      <c r="E632" s="56" t="s">
        <v>223</v>
      </c>
      <c r="F632" s="56" t="s">
        <v>192</v>
      </c>
      <c r="G632" s="70">
        <f>82259.8+29813.6</f>
        <v>112073.4</v>
      </c>
    </row>
    <row r="633" spans="1:7" ht="15.75">
      <c r="A633" s="257" t="s">
        <v>216</v>
      </c>
      <c r="B633" s="47"/>
      <c r="C633" s="48" t="s">
        <v>160</v>
      </c>
      <c r="D633" s="48" t="s">
        <v>157</v>
      </c>
      <c r="E633" s="56" t="s">
        <v>293</v>
      </c>
      <c r="F633" s="56"/>
      <c r="G633" s="62">
        <f>G634</f>
        <v>723.3</v>
      </c>
    </row>
    <row r="634" spans="1:9" ht="19.5" customHeight="1">
      <c r="A634" s="163" t="s">
        <v>190</v>
      </c>
      <c r="B634" s="47"/>
      <c r="C634" s="48" t="s">
        <v>160</v>
      </c>
      <c r="D634" s="48" t="s">
        <v>157</v>
      </c>
      <c r="E634" s="56" t="s">
        <v>293</v>
      </c>
      <c r="F634" s="56" t="s">
        <v>178</v>
      </c>
      <c r="G634" s="70">
        <f>G635</f>
        <v>723.3</v>
      </c>
      <c r="I634" s="333"/>
    </row>
    <row r="635" spans="1:7" ht="16.5" customHeight="1">
      <c r="A635" s="235" t="s">
        <v>191</v>
      </c>
      <c r="B635" s="47"/>
      <c r="C635" s="48" t="s">
        <v>160</v>
      </c>
      <c r="D635" s="48" t="s">
        <v>157</v>
      </c>
      <c r="E635" s="56" t="s">
        <v>293</v>
      </c>
      <c r="F635" s="56" t="s">
        <v>192</v>
      </c>
      <c r="G635" s="70">
        <f>310+413.3</f>
        <v>723.3</v>
      </c>
    </row>
    <row r="636" spans="1:7" ht="15.75">
      <c r="A636" s="257" t="s">
        <v>271</v>
      </c>
      <c r="B636" s="47"/>
      <c r="C636" s="48" t="s">
        <v>160</v>
      </c>
      <c r="D636" s="48" t="s">
        <v>157</v>
      </c>
      <c r="E636" s="56" t="s">
        <v>294</v>
      </c>
      <c r="F636" s="56"/>
      <c r="G636" s="62">
        <f>G637</f>
        <v>310.4</v>
      </c>
    </row>
    <row r="637" spans="1:7" ht="31.5">
      <c r="A637" s="163" t="s">
        <v>190</v>
      </c>
      <c r="B637" s="47"/>
      <c r="C637" s="48" t="s">
        <v>160</v>
      </c>
      <c r="D637" s="48" t="s">
        <v>157</v>
      </c>
      <c r="E637" s="56" t="s">
        <v>294</v>
      </c>
      <c r="F637" s="56" t="s">
        <v>178</v>
      </c>
      <c r="G637" s="70">
        <f>G638</f>
        <v>310.4</v>
      </c>
    </row>
    <row r="638" spans="1:7" ht="15.75">
      <c r="A638" s="235" t="s">
        <v>191</v>
      </c>
      <c r="B638" s="47"/>
      <c r="C638" s="48" t="s">
        <v>160</v>
      </c>
      <c r="D638" s="48" t="s">
        <v>157</v>
      </c>
      <c r="E638" s="56" t="s">
        <v>294</v>
      </c>
      <c r="F638" s="56" t="s">
        <v>192</v>
      </c>
      <c r="G638" s="70">
        <f>177.3+133.1</f>
        <v>310.4</v>
      </c>
    </row>
    <row r="639" spans="1:7" ht="31.5">
      <c r="A639" s="305" t="s">
        <v>632</v>
      </c>
      <c r="B639" s="47"/>
      <c r="C639" s="48" t="s">
        <v>160</v>
      </c>
      <c r="D639" s="48" t="s">
        <v>157</v>
      </c>
      <c r="E639" s="56" t="s">
        <v>411</v>
      </c>
      <c r="F639" s="56"/>
      <c r="G639" s="70">
        <f>G640</f>
        <v>2347.6</v>
      </c>
    </row>
    <row r="640" spans="1:7" ht="31.5">
      <c r="A640" s="163" t="s">
        <v>190</v>
      </c>
      <c r="B640" s="47"/>
      <c r="C640" s="48" t="s">
        <v>160</v>
      </c>
      <c r="D640" s="48" t="s">
        <v>157</v>
      </c>
      <c r="E640" s="56" t="s">
        <v>411</v>
      </c>
      <c r="F640" s="56" t="s">
        <v>178</v>
      </c>
      <c r="G640" s="70">
        <f>G641</f>
        <v>2347.6</v>
      </c>
    </row>
    <row r="641" spans="1:7" ht="15.75">
      <c r="A641" s="235" t="s">
        <v>191</v>
      </c>
      <c r="B641" s="47"/>
      <c r="C641" s="48" t="s">
        <v>160</v>
      </c>
      <c r="D641" s="48" t="s">
        <v>157</v>
      </c>
      <c r="E641" s="56" t="s">
        <v>411</v>
      </c>
      <c r="F641" s="56" t="s">
        <v>192</v>
      </c>
      <c r="G641" s="70">
        <f>350+927.6+700+370</f>
        <v>2347.6</v>
      </c>
    </row>
    <row r="642" spans="1:7" ht="15.75">
      <c r="A642" s="253" t="s">
        <v>295</v>
      </c>
      <c r="B642" s="47"/>
      <c r="C642" s="48" t="s">
        <v>160</v>
      </c>
      <c r="D642" s="48" t="s">
        <v>157</v>
      </c>
      <c r="E642" s="56" t="s">
        <v>296</v>
      </c>
      <c r="F642" s="56"/>
      <c r="G642" s="70">
        <f>G643</f>
        <v>2227.4</v>
      </c>
    </row>
    <row r="643" spans="1:7" ht="31.5">
      <c r="A643" s="163" t="s">
        <v>190</v>
      </c>
      <c r="B643" s="47"/>
      <c r="C643" s="48" t="s">
        <v>160</v>
      </c>
      <c r="D643" s="48" t="s">
        <v>157</v>
      </c>
      <c r="E643" s="56" t="s">
        <v>296</v>
      </c>
      <c r="F643" s="56" t="s">
        <v>178</v>
      </c>
      <c r="G643" s="70">
        <f>G644</f>
        <v>2227.4</v>
      </c>
    </row>
    <row r="644" spans="1:7" ht="15.75">
      <c r="A644" s="235" t="s">
        <v>191</v>
      </c>
      <c r="B644" s="47"/>
      <c r="C644" s="48" t="s">
        <v>160</v>
      </c>
      <c r="D644" s="48" t="s">
        <v>157</v>
      </c>
      <c r="E644" s="56" t="s">
        <v>296</v>
      </c>
      <c r="F644" s="56" t="s">
        <v>192</v>
      </c>
      <c r="G644" s="70">
        <f>727.4+1500</f>
        <v>2227.4</v>
      </c>
    </row>
    <row r="645" spans="1:7" ht="31.5">
      <c r="A645" s="244" t="s">
        <v>267</v>
      </c>
      <c r="B645" s="47"/>
      <c r="C645" s="48" t="s">
        <v>160</v>
      </c>
      <c r="D645" s="48" t="s">
        <v>157</v>
      </c>
      <c r="E645" s="76" t="s">
        <v>621</v>
      </c>
      <c r="F645" s="76"/>
      <c r="G645" s="70">
        <f>G646</f>
        <v>62</v>
      </c>
    </row>
    <row r="646" spans="1:7" ht="31.5">
      <c r="A646" s="260" t="s">
        <v>190</v>
      </c>
      <c r="B646" s="47"/>
      <c r="C646" s="48" t="s">
        <v>160</v>
      </c>
      <c r="D646" s="48" t="s">
        <v>157</v>
      </c>
      <c r="E646" s="76" t="s">
        <v>621</v>
      </c>
      <c r="F646" s="76" t="s">
        <v>178</v>
      </c>
      <c r="G646" s="70">
        <f>G647</f>
        <v>62</v>
      </c>
    </row>
    <row r="647" spans="1:7" ht="15.75">
      <c r="A647" s="262" t="s">
        <v>191</v>
      </c>
      <c r="B647" s="47"/>
      <c r="C647" s="48" t="s">
        <v>160</v>
      </c>
      <c r="D647" s="48" t="s">
        <v>157</v>
      </c>
      <c r="E647" s="76" t="s">
        <v>621</v>
      </c>
      <c r="F647" s="76" t="s">
        <v>192</v>
      </c>
      <c r="G647" s="70">
        <v>62</v>
      </c>
    </row>
    <row r="648" spans="1:7" ht="15.75">
      <c r="A648" s="235" t="s">
        <v>268</v>
      </c>
      <c r="B648" s="47"/>
      <c r="C648" s="48" t="s">
        <v>160</v>
      </c>
      <c r="D648" s="48" t="s">
        <v>157</v>
      </c>
      <c r="E648" s="56" t="s">
        <v>297</v>
      </c>
      <c r="F648" s="56"/>
      <c r="G648" s="70">
        <f>G649</f>
        <v>2704.3</v>
      </c>
    </row>
    <row r="649" spans="1:7" ht="31.5">
      <c r="A649" s="163" t="s">
        <v>190</v>
      </c>
      <c r="B649" s="47"/>
      <c r="C649" s="48" t="s">
        <v>160</v>
      </c>
      <c r="D649" s="48" t="s">
        <v>157</v>
      </c>
      <c r="E649" s="56" t="s">
        <v>297</v>
      </c>
      <c r="F649" s="56" t="s">
        <v>178</v>
      </c>
      <c r="G649" s="70">
        <f>G650</f>
        <v>2704.3</v>
      </c>
    </row>
    <row r="650" spans="1:7" ht="15.75">
      <c r="A650" s="235" t="s">
        <v>191</v>
      </c>
      <c r="B650" s="47"/>
      <c r="C650" s="48" t="s">
        <v>160</v>
      </c>
      <c r="D650" s="48" t="s">
        <v>157</v>
      </c>
      <c r="E650" s="56" t="s">
        <v>297</v>
      </c>
      <c r="F650" s="56" t="s">
        <v>192</v>
      </c>
      <c r="G650" s="70">
        <f>1404.3+800+500</f>
        <v>2704.3</v>
      </c>
    </row>
    <row r="651" spans="1:7" ht="15.75">
      <c r="A651" s="235" t="s">
        <v>335</v>
      </c>
      <c r="B651" s="47"/>
      <c r="C651" s="48" t="s">
        <v>160</v>
      </c>
      <c r="D651" s="48" t="s">
        <v>157</v>
      </c>
      <c r="E651" s="56" t="s">
        <v>410</v>
      </c>
      <c r="F651" s="56"/>
      <c r="G651" s="70">
        <f>G652</f>
        <v>1034.5</v>
      </c>
    </row>
    <row r="652" spans="1:7" ht="31.5">
      <c r="A652" s="163" t="s">
        <v>190</v>
      </c>
      <c r="B652" s="47"/>
      <c r="C652" s="48" t="s">
        <v>160</v>
      </c>
      <c r="D652" s="48" t="s">
        <v>157</v>
      </c>
      <c r="E652" s="56" t="s">
        <v>410</v>
      </c>
      <c r="F652" s="56" t="s">
        <v>178</v>
      </c>
      <c r="G652" s="70">
        <f>G653</f>
        <v>1034.5</v>
      </c>
    </row>
    <row r="653" spans="1:7" ht="15.75">
      <c r="A653" s="235" t="s">
        <v>191</v>
      </c>
      <c r="B653" s="47"/>
      <c r="C653" s="48" t="s">
        <v>160</v>
      </c>
      <c r="D653" s="48" t="s">
        <v>157</v>
      </c>
      <c r="E653" s="56" t="s">
        <v>410</v>
      </c>
      <c r="F653" s="56" t="s">
        <v>192</v>
      </c>
      <c r="G653" s="70">
        <f>598.2+436.3</f>
        <v>1034.5</v>
      </c>
    </row>
    <row r="654" spans="1:7" ht="15.75">
      <c r="A654" s="235" t="s">
        <v>298</v>
      </c>
      <c r="B654" s="47"/>
      <c r="C654" s="48" t="s">
        <v>160</v>
      </c>
      <c r="D654" s="48" t="s">
        <v>157</v>
      </c>
      <c r="E654" s="56" t="s">
        <v>299</v>
      </c>
      <c r="F654" s="56"/>
      <c r="G654" s="70">
        <f>G655</f>
        <v>260</v>
      </c>
    </row>
    <row r="655" spans="1:7" ht="31.5">
      <c r="A655" s="163" t="s">
        <v>190</v>
      </c>
      <c r="B655" s="47"/>
      <c r="C655" s="48" t="s">
        <v>160</v>
      </c>
      <c r="D655" s="48" t="s">
        <v>157</v>
      </c>
      <c r="E655" s="56" t="s">
        <v>299</v>
      </c>
      <c r="F655" s="56" t="s">
        <v>178</v>
      </c>
      <c r="G655" s="70">
        <f>G656</f>
        <v>260</v>
      </c>
    </row>
    <row r="656" spans="1:7" ht="17.25" customHeight="1">
      <c r="A656" s="235" t="s">
        <v>191</v>
      </c>
      <c r="B656" s="47"/>
      <c r="C656" s="48" t="s">
        <v>160</v>
      </c>
      <c r="D656" s="48" t="s">
        <v>157</v>
      </c>
      <c r="E656" s="56" t="s">
        <v>299</v>
      </c>
      <c r="F656" s="56" t="s">
        <v>192</v>
      </c>
      <c r="G656" s="70">
        <v>260</v>
      </c>
    </row>
    <row r="657" spans="1:7" ht="17.25" customHeight="1">
      <c r="A657" s="235" t="s">
        <v>481</v>
      </c>
      <c r="B657" s="47"/>
      <c r="C657" s="48" t="s">
        <v>160</v>
      </c>
      <c r="D657" s="48" t="s">
        <v>157</v>
      </c>
      <c r="E657" s="56" t="s">
        <v>482</v>
      </c>
      <c r="F657" s="99"/>
      <c r="G657" s="62">
        <f>G658</f>
        <v>10066.4</v>
      </c>
    </row>
    <row r="658" spans="1:7" ht="17.25" customHeight="1">
      <c r="A658" s="235" t="s">
        <v>190</v>
      </c>
      <c r="B658" s="47"/>
      <c r="C658" s="48" t="s">
        <v>160</v>
      </c>
      <c r="D658" s="48" t="s">
        <v>157</v>
      </c>
      <c r="E658" s="56" t="s">
        <v>482</v>
      </c>
      <c r="F658" s="99" t="s">
        <v>178</v>
      </c>
      <c r="G658" s="62">
        <f>G659</f>
        <v>10066.4</v>
      </c>
    </row>
    <row r="659" spans="1:7" ht="17.25" customHeight="1">
      <c r="A659" s="235" t="s">
        <v>191</v>
      </c>
      <c r="B659" s="47"/>
      <c r="C659" s="48" t="s">
        <v>160</v>
      </c>
      <c r="D659" s="48" t="s">
        <v>157</v>
      </c>
      <c r="E659" s="56" t="s">
        <v>482</v>
      </c>
      <c r="F659" s="99" t="s">
        <v>192</v>
      </c>
      <c r="G659" s="62">
        <f>8498.6+2316.2-128.4-620</f>
        <v>10066.4</v>
      </c>
    </row>
    <row r="660" spans="1:7" ht="15.75">
      <c r="A660" s="244" t="s">
        <v>398</v>
      </c>
      <c r="B660" s="47"/>
      <c r="C660" s="48" t="s">
        <v>160</v>
      </c>
      <c r="D660" s="48" t="s">
        <v>157</v>
      </c>
      <c r="E660" s="56" t="s">
        <v>397</v>
      </c>
      <c r="F660" s="91"/>
      <c r="G660" s="62">
        <f>G661</f>
        <v>14872.7</v>
      </c>
    </row>
    <row r="661" spans="1:7" ht="31.5">
      <c r="A661" s="163" t="s">
        <v>190</v>
      </c>
      <c r="B661" s="47"/>
      <c r="C661" s="48" t="s">
        <v>160</v>
      </c>
      <c r="D661" s="48" t="s">
        <v>157</v>
      </c>
      <c r="E661" s="56" t="s">
        <v>397</v>
      </c>
      <c r="F661" s="56" t="s">
        <v>178</v>
      </c>
      <c r="G661" s="62">
        <f>G662</f>
        <v>14872.7</v>
      </c>
    </row>
    <row r="662" spans="1:7" ht="15.75">
      <c r="A662" s="253" t="s">
        <v>191</v>
      </c>
      <c r="B662" s="47"/>
      <c r="C662" s="48" t="s">
        <v>160</v>
      </c>
      <c r="D662" s="48" t="s">
        <v>157</v>
      </c>
      <c r="E662" s="56" t="s">
        <v>397</v>
      </c>
      <c r="F662" s="56" t="s">
        <v>192</v>
      </c>
      <c r="G662" s="62">
        <v>14872.7</v>
      </c>
    </row>
    <row r="663" spans="1:7" ht="31.5">
      <c r="A663" s="244" t="s">
        <v>483</v>
      </c>
      <c r="B663" s="47"/>
      <c r="C663" s="48" t="s">
        <v>160</v>
      </c>
      <c r="D663" s="48" t="s">
        <v>157</v>
      </c>
      <c r="E663" s="56" t="s">
        <v>399</v>
      </c>
      <c r="F663" s="91"/>
      <c r="G663" s="62">
        <f>G664</f>
        <v>192.1</v>
      </c>
    </row>
    <row r="664" spans="1:7" ht="31.5">
      <c r="A664" s="163" t="s">
        <v>190</v>
      </c>
      <c r="B664" s="47"/>
      <c r="C664" s="48" t="s">
        <v>160</v>
      </c>
      <c r="D664" s="48" t="s">
        <v>157</v>
      </c>
      <c r="E664" s="56" t="s">
        <v>399</v>
      </c>
      <c r="F664" s="56" t="s">
        <v>178</v>
      </c>
      <c r="G664" s="62">
        <f>G665</f>
        <v>192.1</v>
      </c>
    </row>
    <row r="665" spans="1:7" ht="15.75">
      <c r="A665" s="235" t="s">
        <v>191</v>
      </c>
      <c r="B665" s="47"/>
      <c r="C665" s="48" t="s">
        <v>160</v>
      </c>
      <c r="D665" s="48" t="s">
        <v>157</v>
      </c>
      <c r="E665" s="56" t="s">
        <v>399</v>
      </c>
      <c r="F665" s="56" t="s">
        <v>192</v>
      </c>
      <c r="G665" s="62">
        <v>192.1</v>
      </c>
    </row>
    <row r="666" spans="1:7" ht="31.5">
      <c r="A666" s="244" t="s">
        <v>485</v>
      </c>
      <c r="B666" s="47"/>
      <c r="C666" s="48" t="s">
        <v>160</v>
      </c>
      <c r="D666" s="48" t="s">
        <v>157</v>
      </c>
      <c r="E666" s="56" t="s">
        <v>484</v>
      </c>
      <c r="F666" s="91"/>
      <c r="G666" s="62">
        <f>G667</f>
        <v>139.5</v>
      </c>
    </row>
    <row r="667" spans="1:7" ht="31.5">
      <c r="A667" s="163" t="s">
        <v>190</v>
      </c>
      <c r="B667" s="47"/>
      <c r="C667" s="48" t="s">
        <v>160</v>
      </c>
      <c r="D667" s="48" t="s">
        <v>157</v>
      </c>
      <c r="E667" s="56" t="s">
        <v>484</v>
      </c>
      <c r="F667" s="56" t="s">
        <v>178</v>
      </c>
      <c r="G667" s="62">
        <f>G668</f>
        <v>139.5</v>
      </c>
    </row>
    <row r="668" spans="1:7" ht="15.75">
      <c r="A668" s="235" t="s">
        <v>191</v>
      </c>
      <c r="B668" s="47"/>
      <c r="C668" s="48" t="s">
        <v>160</v>
      </c>
      <c r="D668" s="48" t="s">
        <v>157</v>
      </c>
      <c r="E668" s="56" t="s">
        <v>484</v>
      </c>
      <c r="F668" s="56" t="s">
        <v>192</v>
      </c>
      <c r="G668" s="62">
        <v>139.5</v>
      </c>
    </row>
    <row r="669" spans="1:7" ht="15.75">
      <c r="A669" s="244" t="s">
        <v>590</v>
      </c>
      <c r="B669" s="47"/>
      <c r="C669" s="48" t="s">
        <v>160</v>
      </c>
      <c r="D669" s="48" t="s">
        <v>157</v>
      </c>
      <c r="E669" s="56" t="s">
        <v>589</v>
      </c>
      <c r="F669" s="91"/>
      <c r="G669" s="62">
        <f>G670</f>
        <v>61.1</v>
      </c>
    </row>
    <row r="670" spans="1:7" ht="31.5">
      <c r="A670" s="163" t="s">
        <v>190</v>
      </c>
      <c r="B670" s="47"/>
      <c r="C670" s="48" t="s">
        <v>160</v>
      </c>
      <c r="D670" s="48" t="s">
        <v>157</v>
      </c>
      <c r="E670" s="56" t="s">
        <v>589</v>
      </c>
      <c r="F670" s="56" t="s">
        <v>178</v>
      </c>
      <c r="G670" s="62">
        <f>G671</f>
        <v>61.1</v>
      </c>
    </row>
    <row r="671" spans="1:7" ht="15.75">
      <c r="A671" s="235" t="s">
        <v>191</v>
      </c>
      <c r="B671" s="47"/>
      <c r="C671" s="48" t="s">
        <v>160</v>
      </c>
      <c r="D671" s="48" t="s">
        <v>157</v>
      </c>
      <c r="E671" s="56" t="s">
        <v>589</v>
      </c>
      <c r="F671" s="56" t="s">
        <v>192</v>
      </c>
      <c r="G671" s="62">
        <f>5+55.6+0.5</f>
        <v>61.1</v>
      </c>
    </row>
    <row r="672" spans="1:7" ht="15.75">
      <c r="A672" s="244" t="s">
        <v>587</v>
      </c>
      <c r="B672" s="47"/>
      <c r="C672" s="48" t="s">
        <v>160</v>
      </c>
      <c r="D672" s="48" t="s">
        <v>157</v>
      </c>
      <c r="E672" s="56" t="s">
        <v>588</v>
      </c>
      <c r="F672" s="91"/>
      <c r="G672" s="62">
        <f>G673</f>
        <v>122.1</v>
      </c>
    </row>
    <row r="673" spans="1:7" ht="31.5">
      <c r="A673" s="163" t="s">
        <v>190</v>
      </c>
      <c r="B673" s="47"/>
      <c r="C673" s="48" t="s">
        <v>160</v>
      </c>
      <c r="D673" s="48" t="s">
        <v>157</v>
      </c>
      <c r="E673" s="56" t="s">
        <v>588</v>
      </c>
      <c r="F673" s="56" t="s">
        <v>178</v>
      </c>
      <c r="G673" s="62">
        <f>G674</f>
        <v>122.1</v>
      </c>
    </row>
    <row r="674" spans="1:26" s="307" customFormat="1" ht="19.5" customHeight="1">
      <c r="A674" s="235" t="s">
        <v>191</v>
      </c>
      <c r="B674" s="47"/>
      <c r="C674" s="48" t="s">
        <v>160</v>
      </c>
      <c r="D674" s="48" t="s">
        <v>157</v>
      </c>
      <c r="E674" s="56" t="s">
        <v>588</v>
      </c>
      <c r="F674" s="56" t="s">
        <v>192</v>
      </c>
      <c r="G674" s="62">
        <f>10+111.1+1</f>
        <v>122.1</v>
      </c>
      <c r="H674" s="336"/>
      <c r="I674" s="336"/>
      <c r="J674" s="336"/>
      <c r="K674" s="336"/>
      <c r="L674" s="336"/>
      <c r="M674" s="336"/>
      <c r="N674" s="336"/>
      <c r="O674" s="336"/>
      <c r="P674" s="336"/>
      <c r="Q674" s="337"/>
      <c r="R674" s="336"/>
      <c r="S674" s="336"/>
      <c r="T674" s="336"/>
      <c r="U674" s="336"/>
      <c r="V674" s="336"/>
      <c r="W674" s="336"/>
      <c r="X674" s="336"/>
      <c r="Y674" s="336"/>
      <c r="Z674" s="336"/>
    </row>
    <row r="675" spans="1:26" s="307" customFormat="1" ht="16.5" customHeight="1">
      <c r="A675" s="276" t="s">
        <v>512</v>
      </c>
      <c r="B675" s="51"/>
      <c r="C675" s="45" t="s">
        <v>160</v>
      </c>
      <c r="D675" s="45" t="s">
        <v>157</v>
      </c>
      <c r="E675" s="52" t="s">
        <v>511</v>
      </c>
      <c r="F675" s="57"/>
      <c r="G675" s="58">
        <f>G676</f>
        <v>130584.62</v>
      </c>
      <c r="H675" s="336"/>
      <c r="I675" s="336"/>
      <c r="J675" s="336"/>
      <c r="K675" s="336"/>
      <c r="L675" s="336"/>
      <c r="M675" s="336"/>
      <c r="N675" s="336"/>
      <c r="O675" s="336"/>
      <c r="P675" s="336"/>
      <c r="Q675" s="337"/>
      <c r="R675" s="336"/>
      <c r="S675" s="336"/>
      <c r="T675" s="336"/>
      <c r="U675" s="336"/>
      <c r="V675" s="336"/>
      <c r="W675" s="336"/>
      <c r="X675" s="336"/>
      <c r="Y675" s="336"/>
      <c r="Z675" s="336"/>
    </row>
    <row r="676" spans="1:7" ht="20.25" customHeight="1">
      <c r="A676" s="252" t="s">
        <v>513</v>
      </c>
      <c r="B676" s="51"/>
      <c r="C676" s="45" t="s">
        <v>160</v>
      </c>
      <c r="D676" s="45" t="s">
        <v>157</v>
      </c>
      <c r="E676" s="52" t="s">
        <v>281</v>
      </c>
      <c r="F676" s="57"/>
      <c r="G676" s="58">
        <f>G679+G682+G685</f>
        <v>130584.62</v>
      </c>
    </row>
    <row r="677" spans="1:7" ht="31.5">
      <c r="A677" s="238" t="s">
        <v>664</v>
      </c>
      <c r="B677" s="47"/>
      <c r="C677" s="48" t="s">
        <v>160</v>
      </c>
      <c r="D677" s="48" t="s">
        <v>157</v>
      </c>
      <c r="E677" s="56" t="s">
        <v>662</v>
      </c>
      <c r="F677" s="56"/>
      <c r="G677" s="62">
        <f>G678</f>
        <v>82146.02</v>
      </c>
    </row>
    <row r="678" spans="1:26" s="307" customFormat="1" ht="19.5" customHeight="1">
      <c r="A678" s="163" t="s">
        <v>227</v>
      </c>
      <c r="B678" s="47"/>
      <c r="C678" s="48" t="s">
        <v>160</v>
      </c>
      <c r="D678" s="48" t="s">
        <v>157</v>
      </c>
      <c r="E678" s="56" t="s">
        <v>662</v>
      </c>
      <c r="F678" s="56" t="s">
        <v>178</v>
      </c>
      <c r="G678" s="62">
        <f>G679</f>
        <v>82146.02</v>
      </c>
      <c r="H678" s="336"/>
      <c r="I678" s="336"/>
      <c r="J678" s="336"/>
      <c r="K678" s="336"/>
      <c r="L678" s="336"/>
      <c r="M678" s="336"/>
      <c r="N678" s="336"/>
      <c r="O678" s="336"/>
      <c r="P678" s="336"/>
      <c r="Q678" s="337"/>
      <c r="R678" s="336"/>
      <c r="S678" s="336"/>
      <c r="T678" s="336"/>
      <c r="U678" s="336"/>
      <c r="V678" s="336"/>
      <c r="W678" s="336"/>
      <c r="X678" s="336"/>
      <c r="Y678" s="336"/>
      <c r="Z678" s="336"/>
    </row>
    <row r="679" spans="1:26" s="307" customFormat="1" ht="16.5" customHeight="1">
      <c r="A679" s="271" t="s">
        <v>179</v>
      </c>
      <c r="B679" s="47"/>
      <c r="C679" s="48" t="s">
        <v>160</v>
      </c>
      <c r="D679" s="48" t="s">
        <v>157</v>
      </c>
      <c r="E679" s="56" t="s">
        <v>662</v>
      </c>
      <c r="F679" s="56" t="s">
        <v>192</v>
      </c>
      <c r="G679" s="62">
        <f>79487.8+1622.22+413+623</f>
        <v>82146.02</v>
      </c>
      <c r="H679" s="336"/>
      <c r="I679" s="336"/>
      <c r="J679" s="336"/>
      <c r="K679" s="336"/>
      <c r="L679" s="336"/>
      <c r="M679" s="336"/>
      <c r="N679" s="336"/>
      <c r="O679" s="336"/>
      <c r="P679" s="336"/>
      <c r="Q679" s="337"/>
      <c r="R679" s="336"/>
      <c r="S679" s="336"/>
      <c r="T679" s="336"/>
      <c r="U679" s="336"/>
      <c r="V679" s="336"/>
      <c r="W679" s="336"/>
      <c r="X679" s="336"/>
      <c r="Y679" s="336"/>
      <c r="Z679" s="336"/>
    </row>
    <row r="680" spans="1:7" ht="20.25" customHeight="1">
      <c r="A680" s="238" t="s">
        <v>665</v>
      </c>
      <c r="B680" s="47"/>
      <c r="C680" s="48" t="s">
        <v>160</v>
      </c>
      <c r="D680" s="48" t="s">
        <v>157</v>
      </c>
      <c r="E680" s="56" t="s">
        <v>663</v>
      </c>
      <c r="F680" s="56"/>
      <c r="G680" s="62">
        <f>G681</f>
        <v>23425.7</v>
      </c>
    </row>
    <row r="681" spans="1:7" ht="15.75">
      <c r="A681" s="163" t="s">
        <v>227</v>
      </c>
      <c r="B681" s="47"/>
      <c r="C681" s="48" t="s">
        <v>160</v>
      </c>
      <c r="D681" s="48" t="s">
        <v>157</v>
      </c>
      <c r="E681" s="56" t="s">
        <v>663</v>
      </c>
      <c r="F681" s="56" t="s">
        <v>178</v>
      </c>
      <c r="G681" s="62">
        <f>G682</f>
        <v>23425.7</v>
      </c>
    </row>
    <row r="682" spans="1:26" s="307" customFormat="1" ht="15.75">
      <c r="A682" s="271" t="s">
        <v>179</v>
      </c>
      <c r="B682" s="47"/>
      <c r="C682" s="48" t="s">
        <v>160</v>
      </c>
      <c r="D682" s="48" t="s">
        <v>157</v>
      </c>
      <c r="E682" s="56" t="s">
        <v>663</v>
      </c>
      <c r="F682" s="56" t="s">
        <v>192</v>
      </c>
      <c r="G682" s="62">
        <f>22669+462.7+117+177</f>
        <v>23425.7</v>
      </c>
      <c r="H682" s="336"/>
      <c r="I682" s="336"/>
      <c r="J682" s="336"/>
      <c r="K682" s="336"/>
      <c r="L682" s="336"/>
      <c r="M682" s="336"/>
      <c r="N682" s="336"/>
      <c r="O682" s="336"/>
      <c r="P682" s="336"/>
      <c r="Q682" s="337"/>
      <c r="R682" s="336"/>
      <c r="S682" s="336"/>
      <c r="T682" s="336"/>
      <c r="U682" s="336"/>
      <c r="V682" s="336"/>
      <c r="W682" s="336"/>
      <c r="X682" s="336"/>
      <c r="Y682" s="336"/>
      <c r="Z682" s="336"/>
    </row>
    <row r="683" spans="1:26" s="307" customFormat="1" ht="31.5">
      <c r="A683" s="238" t="s">
        <v>661</v>
      </c>
      <c r="B683" s="47"/>
      <c r="C683" s="48" t="s">
        <v>160</v>
      </c>
      <c r="D683" s="48" t="s">
        <v>157</v>
      </c>
      <c r="E683" s="56" t="s">
        <v>660</v>
      </c>
      <c r="F683" s="56"/>
      <c r="G683" s="62">
        <f>G684</f>
        <v>25012.9</v>
      </c>
      <c r="H683" s="336"/>
      <c r="I683" s="336"/>
      <c r="J683" s="336"/>
      <c r="K683" s="336"/>
      <c r="L683" s="336"/>
      <c r="M683" s="336"/>
      <c r="N683" s="336"/>
      <c r="O683" s="336"/>
      <c r="P683" s="336"/>
      <c r="Q683" s="337"/>
      <c r="R683" s="336"/>
      <c r="S683" s="336"/>
      <c r="T683" s="336"/>
      <c r="U683" s="336"/>
      <c r="V683" s="336"/>
      <c r="W683" s="336"/>
      <c r="X683" s="336"/>
      <c r="Y683" s="336"/>
      <c r="Z683" s="336"/>
    </row>
    <row r="684" spans="1:26" s="307" customFormat="1" ht="15.75">
      <c r="A684" s="163" t="s">
        <v>227</v>
      </c>
      <c r="B684" s="47"/>
      <c r="C684" s="48" t="s">
        <v>160</v>
      </c>
      <c r="D684" s="48" t="s">
        <v>157</v>
      </c>
      <c r="E684" s="56" t="s">
        <v>660</v>
      </c>
      <c r="F684" s="56" t="s">
        <v>178</v>
      </c>
      <c r="G684" s="62">
        <f>G685</f>
        <v>25012.9</v>
      </c>
      <c r="H684" s="336"/>
      <c r="I684" s="336"/>
      <c r="J684" s="336"/>
      <c r="K684" s="336"/>
      <c r="L684" s="336"/>
      <c r="M684" s="336"/>
      <c r="N684" s="336"/>
      <c r="O684" s="336"/>
      <c r="P684" s="336"/>
      <c r="Q684" s="337"/>
      <c r="R684" s="336"/>
      <c r="S684" s="336"/>
      <c r="T684" s="336"/>
      <c r="U684" s="336"/>
      <c r="V684" s="336"/>
      <c r="W684" s="336"/>
      <c r="X684" s="336"/>
      <c r="Y684" s="336"/>
      <c r="Z684" s="336"/>
    </row>
    <row r="685" spans="1:26" s="307" customFormat="1" ht="15.75">
      <c r="A685" s="271" t="s">
        <v>179</v>
      </c>
      <c r="B685" s="47"/>
      <c r="C685" s="48" t="s">
        <v>160</v>
      </c>
      <c r="D685" s="48" t="s">
        <v>157</v>
      </c>
      <c r="E685" s="56" t="s">
        <v>660</v>
      </c>
      <c r="F685" s="56" t="s">
        <v>192</v>
      </c>
      <c r="G685" s="62">
        <v>25012.9</v>
      </c>
      <c r="H685" s="336"/>
      <c r="I685" s="336"/>
      <c r="J685" s="336"/>
      <c r="K685" s="336"/>
      <c r="L685" s="336"/>
      <c r="M685" s="336"/>
      <c r="N685" s="336"/>
      <c r="O685" s="336"/>
      <c r="P685" s="336"/>
      <c r="Q685" s="337"/>
      <c r="R685" s="336"/>
      <c r="S685" s="336"/>
      <c r="T685" s="336"/>
      <c r="U685" s="336"/>
      <c r="V685" s="336"/>
      <c r="W685" s="336"/>
      <c r="X685" s="336"/>
      <c r="Y685" s="336"/>
      <c r="Z685" s="336"/>
    </row>
    <row r="686" spans="1:7" ht="15.75">
      <c r="A686" s="234" t="s">
        <v>155</v>
      </c>
      <c r="B686" s="54"/>
      <c r="C686" s="45" t="s">
        <v>127</v>
      </c>
      <c r="D686" s="45"/>
      <c r="E686" s="52"/>
      <c r="F686" s="56"/>
      <c r="G686" s="58">
        <f>G687+G701</f>
        <v>3891.9</v>
      </c>
    </row>
    <row r="687" spans="1:7" ht="24.75" customHeight="1">
      <c r="A687" s="245" t="s">
        <v>124</v>
      </c>
      <c r="B687" s="54"/>
      <c r="C687" s="45" t="s">
        <v>127</v>
      </c>
      <c r="D687" s="45" t="s">
        <v>158</v>
      </c>
      <c r="E687" s="52"/>
      <c r="F687" s="56"/>
      <c r="G687" s="58">
        <f>G697+G688</f>
        <v>442</v>
      </c>
    </row>
    <row r="688" spans="1:26" s="307" customFormat="1" ht="19.5" customHeight="1">
      <c r="A688" s="239" t="s">
        <v>447</v>
      </c>
      <c r="B688" s="54"/>
      <c r="C688" s="45" t="s">
        <v>127</v>
      </c>
      <c r="D688" s="45" t="s">
        <v>158</v>
      </c>
      <c r="E688" s="52" t="s">
        <v>82</v>
      </c>
      <c r="F688" s="56"/>
      <c r="G688" s="58">
        <f>G689+G693</f>
        <v>242</v>
      </c>
      <c r="H688" s="336"/>
      <c r="I688" s="336"/>
      <c r="J688" s="336"/>
      <c r="K688" s="336"/>
      <c r="L688" s="336"/>
      <c r="M688" s="336"/>
      <c r="N688" s="336"/>
      <c r="O688" s="336"/>
      <c r="P688" s="336"/>
      <c r="Q688" s="337"/>
      <c r="R688" s="336"/>
      <c r="S688" s="336"/>
      <c r="T688" s="336"/>
      <c r="U688" s="336"/>
      <c r="V688" s="336"/>
      <c r="W688" s="336"/>
      <c r="X688" s="336"/>
      <c r="Y688" s="336"/>
      <c r="Z688" s="336"/>
    </row>
    <row r="689" spans="1:26" s="307" customFormat="1" ht="16.5" customHeight="1">
      <c r="A689" s="239" t="s">
        <v>341</v>
      </c>
      <c r="B689" s="54"/>
      <c r="C689" s="45" t="s">
        <v>127</v>
      </c>
      <c r="D689" s="45" t="s">
        <v>158</v>
      </c>
      <c r="E689" s="52" t="s">
        <v>48</v>
      </c>
      <c r="F689" s="56"/>
      <c r="G689" s="58">
        <f>G690</f>
        <v>200</v>
      </c>
      <c r="H689" s="336"/>
      <c r="I689" s="336"/>
      <c r="J689" s="336"/>
      <c r="K689" s="336"/>
      <c r="L689" s="336"/>
      <c r="M689" s="336"/>
      <c r="N689" s="336"/>
      <c r="O689" s="336"/>
      <c r="P689" s="336"/>
      <c r="Q689" s="337"/>
      <c r="R689" s="336"/>
      <c r="S689" s="336"/>
      <c r="T689" s="336"/>
      <c r="U689" s="336"/>
      <c r="V689" s="336"/>
      <c r="W689" s="336"/>
      <c r="X689" s="336"/>
      <c r="Y689" s="336"/>
      <c r="Z689" s="336"/>
    </row>
    <row r="690" spans="1:7" ht="20.25" customHeight="1">
      <c r="A690" s="238" t="s">
        <v>94</v>
      </c>
      <c r="B690" s="66"/>
      <c r="C690" s="48" t="s">
        <v>127</v>
      </c>
      <c r="D690" s="48" t="s">
        <v>158</v>
      </c>
      <c r="E690" s="49" t="s">
        <v>49</v>
      </c>
      <c r="F690" s="56"/>
      <c r="G690" s="62">
        <f>SUM(G691)</f>
        <v>200</v>
      </c>
    </row>
    <row r="691" spans="1:7" ht="15.75">
      <c r="A691" s="237" t="s">
        <v>226</v>
      </c>
      <c r="B691" s="66"/>
      <c r="C691" s="48" t="s">
        <v>127</v>
      </c>
      <c r="D691" s="48" t="s">
        <v>158</v>
      </c>
      <c r="E691" s="49" t="s">
        <v>49</v>
      </c>
      <c r="F691" s="56" t="s">
        <v>188</v>
      </c>
      <c r="G691" s="62">
        <f>G692</f>
        <v>200</v>
      </c>
    </row>
    <row r="692" spans="1:7" ht="15.75">
      <c r="A692" s="257" t="s">
        <v>189</v>
      </c>
      <c r="B692" s="66"/>
      <c r="C692" s="48" t="s">
        <v>127</v>
      </c>
      <c r="D692" s="48" t="s">
        <v>158</v>
      </c>
      <c r="E692" s="49" t="s">
        <v>49</v>
      </c>
      <c r="F692" s="56" t="s">
        <v>187</v>
      </c>
      <c r="G692" s="62">
        <v>200</v>
      </c>
    </row>
    <row r="693" spans="1:18" ht="15.75">
      <c r="A693" s="239" t="s">
        <v>533</v>
      </c>
      <c r="B693" s="54"/>
      <c r="C693" s="45" t="s">
        <v>127</v>
      </c>
      <c r="D693" s="45" t="s">
        <v>158</v>
      </c>
      <c r="E693" s="52" t="s">
        <v>50</v>
      </c>
      <c r="F693" s="56"/>
      <c r="G693" s="58">
        <f>G694</f>
        <v>42</v>
      </c>
      <c r="R693" s="333" t="e">
        <f>G693+#REF!</f>
        <v>#REF!</v>
      </c>
    </row>
    <row r="694" spans="1:7" ht="15.75">
      <c r="A694" s="238" t="s">
        <v>463</v>
      </c>
      <c r="B694" s="66"/>
      <c r="C694" s="48" t="s">
        <v>127</v>
      </c>
      <c r="D694" s="48" t="s">
        <v>158</v>
      </c>
      <c r="E694" s="49" t="s">
        <v>534</v>
      </c>
      <c r="F694" s="56"/>
      <c r="G694" s="62">
        <f>SUM(G695)</f>
        <v>42</v>
      </c>
    </row>
    <row r="695" spans="1:17" ht="15.75">
      <c r="A695" s="238" t="s">
        <v>89</v>
      </c>
      <c r="B695" s="66"/>
      <c r="C695" s="48" t="s">
        <v>127</v>
      </c>
      <c r="D695" s="48" t="s">
        <v>158</v>
      </c>
      <c r="E695" s="49" t="s">
        <v>534</v>
      </c>
      <c r="F695" s="56" t="s">
        <v>85</v>
      </c>
      <c r="G695" s="62">
        <f>G696</f>
        <v>42</v>
      </c>
      <c r="Q695" s="334"/>
    </row>
    <row r="696" spans="1:7" ht="15.75">
      <c r="A696" s="238" t="s">
        <v>84</v>
      </c>
      <c r="B696" s="66"/>
      <c r="C696" s="48" t="s">
        <v>127</v>
      </c>
      <c r="D696" s="48" t="s">
        <v>158</v>
      </c>
      <c r="E696" s="49" t="s">
        <v>534</v>
      </c>
      <c r="F696" s="56" t="s">
        <v>86</v>
      </c>
      <c r="G696" s="62">
        <v>42</v>
      </c>
    </row>
    <row r="697" spans="1:7" ht="15.75">
      <c r="A697" s="242" t="s">
        <v>343</v>
      </c>
      <c r="B697" s="97"/>
      <c r="C697" s="93" t="s">
        <v>127</v>
      </c>
      <c r="D697" s="93" t="s">
        <v>158</v>
      </c>
      <c r="E697" s="98" t="s">
        <v>342</v>
      </c>
      <c r="F697" s="76"/>
      <c r="G697" s="58">
        <f>G698</f>
        <v>200</v>
      </c>
    </row>
    <row r="698" spans="1:7" ht="31.5">
      <c r="A698" s="238" t="s">
        <v>629</v>
      </c>
      <c r="B698" s="97"/>
      <c r="C698" s="80" t="s">
        <v>127</v>
      </c>
      <c r="D698" s="80" t="s">
        <v>158</v>
      </c>
      <c r="E698" s="81" t="s">
        <v>628</v>
      </c>
      <c r="F698" s="76"/>
      <c r="G698" s="62">
        <f>G699</f>
        <v>200</v>
      </c>
    </row>
    <row r="699" spans="1:7" ht="15.75">
      <c r="A699" s="163" t="s">
        <v>89</v>
      </c>
      <c r="B699" s="97"/>
      <c r="C699" s="80" t="s">
        <v>127</v>
      </c>
      <c r="D699" s="80" t="s">
        <v>158</v>
      </c>
      <c r="E699" s="81" t="s">
        <v>628</v>
      </c>
      <c r="F699" s="76" t="s">
        <v>85</v>
      </c>
      <c r="G699" s="62">
        <f>G700</f>
        <v>200</v>
      </c>
    </row>
    <row r="700" spans="1:7" ht="18" customHeight="1">
      <c r="A700" s="238" t="s">
        <v>424</v>
      </c>
      <c r="B700" s="97"/>
      <c r="C700" s="80" t="s">
        <v>127</v>
      </c>
      <c r="D700" s="80" t="s">
        <v>158</v>
      </c>
      <c r="E700" s="81" t="s">
        <v>628</v>
      </c>
      <c r="F700" s="76" t="s">
        <v>423</v>
      </c>
      <c r="G700" s="62">
        <v>200</v>
      </c>
    </row>
    <row r="701" spans="1:7" ht="15" customHeight="1">
      <c r="A701" s="245" t="s">
        <v>159</v>
      </c>
      <c r="B701" s="54"/>
      <c r="C701" s="45" t="s">
        <v>127</v>
      </c>
      <c r="D701" s="45" t="s">
        <v>170</v>
      </c>
      <c r="E701" s="52"/>
      <c r="F701" s="56"/>
      <c r="G701" s="58">
        <f>G702</f>
        <v>3449.9</v>
      </c>
    </row>
    <row r="702" spans="1:7" ht="15" customHeight="1">
      <c r="A702" s="239" t="s">
        <v>447</v>
      </c>
      <c r="B702" s="54"/>
      <c r="C702" s="45" t="s">
        <v>127</v>
      </c>
      <c r="D702" s="45" t="s">
        <v>170</v>
      </c>
      <c r="E702" s="52" t="s">
        <v>82</v>
      </c>
      <c r="F702" s="56"/>
      <c r="G702" s="58">
        <f>G703</f>
        <v>3449.9</v>
      </c>
    </row>
    <row r="703" spans="1:7" ht="15" customHeight="1">
      <c r="A703" s="239" t="s">
        <v>448</v>
      </c>
      <c r="B703" s="54"/>
      <c r="C703" s="45" t="s">
        <v>127</v>
      </c>
      <c r="D703" s="45" t="s">
        <v>170</v>
      </c>
      <c r="E703" s="52" t="s">
        <v>449</v>
      </c>
      <c r="F703" s="56"/>
      <c r="G703" s="58">
        <f>G704</f>
        <v>3449.9</v>
      </c>
    </row>
    <row r="704" spans="1:7" ht="15" customHeight="1">
      <c r="A704" s="238" t="s">
        <v>451</v>
      </c>
      <c r="B704" s="66"/>
      <c r="C704" s="48" t="s">
        <v>127</v>
      </c>
      <c r="D704" s="48" t="s">
        <v>170</v>
      </c>
      <c r="E704" s="49" t="s">
        <v>450</v>
      </c>
      <c r="F704" s="56"/>
      <c r="G704" s="62">
        <f>SUM(G705)</f>
        <v>3449.9</v>
      </c>
    </row>
    <row r="705" spans="1:7" ht="29.25" customHeight="1">
      <c r="A705" s="281" t="s">
        <v>89</v>
      </c>
      <c r="B705" s="66"/>
      <c r="C705" s="48" t="s">
        <v>127</v>
      </c>
      <c r="D705" s="48" t="s">
        <v>170</v>
      </c>
      <c r="E705" s="49" t="s">
        <v>450</v>
      </c>
      <c r="F705" s="56" t="s">
        <v>85</v>
      </c>
      <c r="G705" s="62">
        <f>G706</f>
        <v>3449.9</v>
      </c>
    </row>
    <row r="706" spans="1:8" ht="15.75">
      <c r="A706" s="282" t="s">
        <v>84</v>
      </c>
      <c r="B706" s="66"/>
      <c r="C706" s="48" t="s">
        <v>127</v>
      </c>
      <c r="D706" s="48" t="s">
        <v>170</v>
      </c>
      <c r="E706" s="49" t="s">
        <v>450</v>
      </c>
      <c r="F706" s="56" t="s">
        <v>86</v>
      </c>
      <c r="G706" s="62">
        <v>3449.9</v>
      </c>
      <c r="H706" s="338"/>
    </row>
    <row r="707" spans="1:7" ht="15.75">
      <c r="A707" s="234" t="s">
        <v>162</v>
      </c>
      <c r="B707" s="51"/>
      <c r="C707" s="45" t="s">
        <v>156</v>
      </c>
      <c r="D707" s="45"/>
      <c r="E707" s="52"/>
      <c r="F707" s="57"/>
      <c r="G707" s="58">
        <f>G708+G719</f>
        <v>25936.1</v>
      </c>
    </row>
    <row r="708" spans="1:7" ht="15" customHeight="1">
      <c r="A708" s="234" t="s">
        <v>185</v>
      </c>
      <c r="B708" s="51"/>
      <c r="C708" s="45" t="s">
        <v>156</v>
      </c>
      <c r="D708" s="45" t="s">
        <v>171</v>
      </c>
      <c r="E708" s="52"/>
      <c r="F708" s="57"/>
      <c r="G708" s="58">
        <f>G709</f>
        <v>3734.8</v>
      </c>
    </row>
    <row r="709" spans="1:8" ht="17.25" customHeight="1">
      <c r="A709" s="258" t="s">
        <v>601</v>
      </c>
      <c r="B709" s="51"/>
      <c r="C709" s="45" t="s">
        <v>156</v>
      </c>
      <c r="D709" s="45" t="s">
        <v>171</v>
      </c>
      <c r="E709" s="52" t="s">
        <v>38</v>
      </c>
      <c r="F709" s="57"/>
      <c r="G709" s="58">
        <f>G710</f>
        <v>3734.8</v>
      </c>
      <c r="H709" s="338"/>
    </row>
    <row r="710" spans="1:8" ht="30.75" customHeight="1">
      <c r="A710" s="283" t="s">
        <v>549</v>
      </c>
      <c r="B710" s="51"/>
      <c r="C710" s="45" t="s">
        <v>156</v>
      </c>
      <c r="D710" s="45" t="s">
        <v>171</v>
      </c>
      <c r="E710" s="52" t="s">
        <v>225</v>
      </c>
      <c r="F710" s="57"/>
      <c r="G710" s="58">
        <f>G711+G716</f>
        <v>3734.8</v>
      </c>
      <c r="H710" s="338"/>
    </row>
    <row r="711" spans="1:8" ht="17.25" customHeight="1">
      <c r="A711" s="235" t="s">
        <v>318</v>
      </c>
      <c r="B711" s="47"/>
      <c r="C711" s="48" t="s">
        <v>156</v>
      </c>
      <c r="D711" s="48" t="s">
        <v>171</v>
      </c>
      <c r="E711" s="49" t="s">
        <v>39</v>
      </c>
      <c r="F711" s="56"/>
      <c r="G711" s="62">
        <f>G713+G715</f>
        <v>1334.8</v>
      </c>
      <c r="H711" s="338"/>
    </row>
    <row r="712" spans="1:8" ht="17.25" customHeight="1">
      <c r="A712" s="237" t="s">
        <v>226</v>
      </c>
      <c r="B712" s="47"/>
      <c r="C712" s="48" t="s">
        <v>156</v>
      </c>
      <c r="D712" s="48" t="s">
        <v>171</v>
      </c>
      <c r="E712" s="49" t="s">
        <v>39</v>
      </c>
      <c r="F712" s="56" t="s">
        <v>188</v>
      </c>
      <c r="G712" s="62">
        <f>G713</f>
        <v>1274.8</v>
      </c>
      <c r="H712" s="338"/>
    </row>
    <row r="713" spans="1:7" ht="15.75">
      <c r="A713" s="257" t="s">
        <v>189</v>
      </c>
      <c r="B713" s="47"/>
      <c r="C713" s="48" t="s">
        <v>156</v>
      </c>
      <c r="D713" s="48" t="s">
        <v>171</v>
      </c>
      <c r="E713" s="49" t="s">
        <v>39</v>
      </c>
      <c r="F713" s="56" t="s">
        <v>187</v>
      </c>
      <c r="G713" s="62">
        <v>1274.8</v>
      </c>
    </row>
    <row r="714" spans="1:7" ht="15" customHeight="1">
      <c r="A714" s="163" t="s">
        <v>190</v>
      </c>
      <c r="B714" s="47"/>
      <c r="C714" s="48" t="s">
        <v>156</v>
      </c>
      <c r="D714" s="48" t="s">
        <v>171</v>
      </c>
      <c r="E714" s="49" t="s">
        <v>39</v>
      </c>
      <c r="F714" s="56" t="s">
        <v>178</v>
      </c>
      <c r="G714" s="62">
        <f>G715</f>
        <v>60</v>
      </c>
    </row>
    <row r="715" spans="1:8" ht="17.25" customHeight="1">
      <c r="A715" s="253" t="s">
        <v>191</v>
      </c>
      <c r="B715" s="47"/>
      <c r="C715" s="48" t="s">
        <v>156</v>
      </c>
      <c r="D715" s="48" t="s">
        <v>171</v>
      </c>
      <c r="E715" s="49" t="s">
        <v>39</v>
      </c>
      <c r="F715" s="56" t="s">
        <v>192</v>
      </c>
      <c r="G715" s="62">
        <v>60</v>
      </c>
      <c r="H715" s="338"/>
    </row>
    <row r="716" spans="1:8" ht="17.25" customHeight="1">
      <c r="A716" s="271" t="s">
        <v>308</v>
      </c>
      <c r="B716" s="47"/>
      <c r="C716" s="48" t="s">
        <v>156</v>
      </c>
      <c r="D716" s="48" t="s">
        <v>171</v>
      </c>
      <c r="E716" s="56" t="s">
        <v>265</v>
      </c>
      <c r="F716" s="56"/>
      <c r="G716" s="62">
        <f>G717</f>
        <v>2400</v>
      </c>
      <c r="H716" s="338"/>
    </row>
    <row r="717" spans="1:8" ht="17.25" customHeight="1">
      <c r="A717" s="271" t="s">
        <v>190</v>
      </c>
      <c r="B717" s="47"/>
      <c r="C717" s="48" t="s">
        <v>156</v>
      </c>
      <c r="D717" s="48" t="s">
        <v>171</v>
      </c>
      <c r="E717" s="56" t="s">
        <v>265</v>
      </c>
      <c r="F717" s="56" t="s">
        <v>178</v>
      </c>
      <c r="G717" s="62">
        <f>G718</f>
        <v>2400</v>
      </c>
      <c r="H717" s="338"/>
    </row>
    <row r="718" spans="1:8" ht="17.25" customHeight="1">
      <c r="A718" s="271" t="s">
        <v>191</v>
      </c>
      <c r="B718" s="47"/>
      <c r="C718" s="48" t="s">
        <v>156</v>
      </c>
      <c r="D718" s="48" t="s">
        <v>171</v>
      </c>
      <c r="E718" s="56" t="s">
        <v>265</v>
      </c>
      <c r="F718" s="56" t="s">
        <v>192</v>
      </c>
      <c r="G718" s="62">
        <v>2400</v>
      </c>
      <c r="H718" s="338"/>
    </row>
    <row r="719" spans="1:7" ht="15.75">
      <c r="A719" s="256" t="s">
        <v>620</v>
      </c>
      <c r="B719" s="51"/>
      <c r="C719" s="45" t="s">
        <v>156</v>
      </c>
      <c r="D719" s="45" t="s">
        <v>158</v>
      </c>
      <c r="E719" s="57"/>
      <c r="F719" s="57"/>
      <c r="G719" s="58">
        <f>G720</f>
        <v>22201.3</v>
      </c>
    </row>
    <row r="720" spans="1:7" ht="31.5">
      <c r="A720" s="258" t="s">
        <v>601</v>
      </c>
      <c r="B720" s="51"/>
      <c r="C720" s="45" t="s">
        <v>156</v>
      </c>
      <c r="D720" s="45" t="s">
        <v>158</v>
      </c>
      <c r="E720" s="52" t="s">
        <v>38</v>
      </c>
      <c r="F720" s="57"/>
      <c r="G720" s="58">
        <f>G721</f>
        <v>22201.3</v>
      </c>
    </row>
    <row r="721" spans="1:7" ht="31.5">
      <c r="A721" s="315" t="s">
        <v>353</v>
      </c>
      <c r="B721" s="47"/>
      <c r="C721" s="45" t="s">
        <v>156</v>
      </c>
      <c r="D721" s="45" t="s">
        <v>158</v>
      </c>
      <c r="E721" s="52" t="s">
        <v>40</v>
      </c>
      <c r="F721" s="57"/>
      <c r="G721" s="58">
        <f>G722+G725+G728+G731+G734+G737+G740+G743+G746+G749+G752</f>
        <v>22201.3</v>
      </c>
    </row>
    <row r="722" spans="1:7" ht="16.5" customHeight="1">
      <c r="A722" s="268" t="s">
        <v>104</v>
      </c>
      <c r="B722" s="47"/>
      <c r="C722" s="48" t="s">
        <v>156</v>
      </c>
      <c r="D722" s="48" t="s">
        <v>158</v>
      </c>
      <c r="E722" s="49" t="s">
        <v>366</v>
      </c>
      <c r="F722" s="56"/>
      <c r="G722" s="62">
        <f>G723</f>
        <v>15524.5</v>
      </c>
    </row>
    <row r="723" spans="1:7" ht="31.5">
      <c r="A723" s="163" t="s">
        <v>190</v>
      </c>
      <c r="B723" s="47"/>
      <c r="C723" s="48" t="s">
        <v>156</v>
      </c>
      <c r="D723" s="48" t="s">
        <v>158</v>
      </c>
      <c r="E723" s="49" t="s">
        <v>366</v>
      </c>
      <c r="F723" s="56" t="s">
        <v>178</v>
      </c>
      <c r="G723" s="62">
        <f>G724</f>
        <v>15524.5</v>
      </c>
    </row>
    <row r="724" spans="1:7" ht="15.75">
      <c r="A724" s="253" t="s">
        <v>191</v>
      </c>
      <c r="B724" s="47"/>
      <c r="C724" s="48" t="s">
        <v>156</v>
      </c>
      <c r="D724" s="48" t="s">
        <v>158</v>
      </c>
      <c r="E724" s="49" t="s">
        <v>366</v>
      </c>
      <c r="F724" s="56" t="s">
        <v>192</v>
      </c>
      <c r="G724" s="62">
        <v>15524.5</v>
      </c>
    </row>
    <row r="725" spans="1:7" ht="31.5">
      <c r="A725" s="271" t="s">
        <v>626</v>
      </c>
      <c r="B725" s="47"/>
      <c r="C725" s="48" t="s">
        <v>156</v>
      </c>
      <c r="D725" s="48" t="s">
        <v>158</v>
      </c>
      <c r="E725" s="56" t="s">
        <v>599</v>
      </c>
      <c r="F725" s="56"/>
      <c r="G725" s="62">
        <f>G726</f>
        <v>25</v>
      </c>
    </row>
    <row r="726" spans="1:7" ht="31.5">
      <c r="A726" s="271" t="s">
        <v>190</v>
      </c>
      <c r="B726" s="47"/>
      <c r="C726" s="48" t="s">
        <v>156</v>
      </c>
      <c r="D726" s="48" t="s">
        <v>158</v>
      </c>
      <c r="E726" s="56" t="s">
        <v>599</v>
      </c>
      <c r="F726" s="56" t="s">
        <v>178</v>
      </c>
      <c r="G726" s="62">
        <f>G727</f>
        <v>25</v>
      </c>
    </row>
    <row r="727" spans="1:7" ht="15.75">
      <c r="A727" s="271" t="s">
        <v>191</v>
      </c>
      <c r="B727" s="47"/>
      <c r="C727" s="48" t="s">
        <v>156</v>
      </c>
      <c r="D727" s="48" t="s">
        <v>158</v>
      </c>
      <c r="E727" s="56" t="s">
        <v>599</v>
      </c>
      <c r="F727" s="56" t="s">
        <v>192</v>
      </c>
      <c r="G727" s="62">
        <v>25</v>
      </c>
    </row>
    <row r="728" spans="1:7" ht="20.25" customHeight="1">
      <c r="A728" s="257" t="s">
        <v>216</v>
      </c>
      <c r="B728" s="47"/>
      <c r="C728" s="48" t="s">
        <v>156</v>
      </c>
      <c r="D728" s="48" t="s">
        <v>158</v>
      </c>
      <c r="E728" s="49" t="s">
        <v>367</v>
      </c>
      <c r="F728" s="56"/>
      <c r="G728" s="62">
        <f>G729</f>
        <v>100</v>
      </c>
    </row>
    <row r="729" spans="1:7" ht="31.5">
      <c r="A729" s="163" t="s">
        <v>190</v>
      </c>
      <c r="B729" s="47"/>
      <c r="C729" s="48" t="s">
        <v>156</v>
      </c>
      <c r="D729" s="48" t="s">
        <v>158</v>
      </c>
      <c r="E729" s="49" t="s">
        <v>367</v>
      </c>
      <c r="F729" s="56" t="s">
        <v>178</v>
      </c>
      <c r="G729" s="62">
        <f>G730</f>
        <v>100</v>
      </c>
    </row>
    <row r="730" spans="1:7" ht="18" customHeight="1">
      <c r="A730" s="253" t="s">
        <v>191</v>
      </c>
      <c r="B730" s="47"/>
      <c r="C730" s="48" t="s">
        <v>156</v>
      </c>
      <c r="D730" s="48" t="s">
        <v>158</v>
      </c>
      <c r="E730" s="49" t="s">
        <v>367</v>
      </c>
      <c r="F730" s="56" t="s">
        <v>192</v>
      </c>
      <c r="G730" s="62">
        <v>100</v>
      </c>
    </row>
    <row r="731" spans="1:7" ht="18.75" customHeight="1">
      <c r="A731" s="271" t="s">
        <v>7</v>
      </c>
      <c r="B731" s="47"/>
      <c r="C731" s="48" t="s">
        <v>156</v>
      </c>
      <c r="D731" s="48" t="s">
        <v>158</v>
      </c>
      <c r="E731" s="56" t="s">
        <v>600</v>
      </c>
      <c r="F731" s="56"/>
      <c r="G731" s="62">
        <f>G732</f>
        <v>1500</v>
      </c>
    </row>
    <row r="732" spans="1:7" ht="31.5">
      <c r="A732" s="271" t="s">
        <v>190</v>
      </c>
      <c r="B732" s="47"/>
      <c r="C732" s="48" t="s">
        <v>156</v>
      </c>
      <c r="D732" s="48" t="s">
        <v>158</v>
      </c>
      <c r="E732" s="56" t="s">
        <v>600</v>
      </c>
      <c r="F732" s="56" t="s">
        <v>178</v>
      </c>
      <c r="G732" s="62">
        <f>G733</f>
        <v>1500</v>
      </c>
    </row>
    <row r="733" spans="1:7" ht="15.75">
      <c r="A733" s="271" t="s">
        <v>191</v>
      </c>
      <c r="B733" s="47"/>
      <c r="C733" s="48" t="s">
        <v>156</v>
      </c>
      <c r="D733" s="48" t="s">
        <v>158</v>
      </c>
      <c r="E733" s="56" t="s">
        <v>600</v>
      </c>
      <c r="F733" s="56" t="s">
        <v>192</v>
      </c>
      <c r="G733" s="62">
        <f>100+1400</f>
        <v>1500</v>
      </c>
    </row>
    <row r="734" spans="1:7" ht="31.5">
      <c r="A734" s="244" t="s">
        <v>267</v>
      </c>
      <c r="B734" s="47"/>
      <c r="C734" s="48" t="s">
        <v>156</v>
      </c>
      <c r="D734" s="48" t="s">
        <v>158</v>
      </c>
      <c r="E734" s="49" t="s">
        <v>368</v>
      </c>
      <c r="F734" s="56"/>
      <c r="G734" s="62">
        <f>G735</f>
        <v>3.5</v>
      </c>
    </row>
    <row r="735" spans="1:7" ht="31.5">
      <c r="A735" s="163" t="s">
        <v>190</v>
      </c>
      <c r="B735" s="47"/>
      <c r="C735" s="48" t="s">
        <v>156</v>
      </c>
      <c r="D735" s="48" t="s">
        <v>158</v>
      </c>
      <c r="E735" s="49" t="s">
        <v>368</v>
      </c>
      <c r="F735" s="56" t="s">
        <v>290</v>
      </c>
      <c r="G735" s="62">
        <f>G736</f>
        <v>3.5</v>
      </c>
    </row>
    <row r="736" spans="1:7" ht="15.75">
      <c r="A736" s="253" t="s">
        <v>191</v>
      </c>
      <c r="B736" s="47"/>
      <c r="C736" s="48" t="s">
        <v>156</v>
      </c>
      <c r="D736" s="48" t="s">
        <v>158</v>
      </c>
      <c r="E736" s="49" t="s">
        <v>368</v>
      </c>
      <c r="F736" s="56" t="s">
        <v>192</v>
      </c>
      <c r="G736" s="62">
        <v>3.5</v>
      </c>
    </row>
    <row r="737" spans="1:7" ht="15.75">
      <c r="A737" s="257" t="s">
        <v>268</v>
      </c>
      <c r="B737" s="47"/>
      <c r="C737" s="48" t="s">
        <v>156</v>
      </c>
      <c r="D737" s="48" t="s">
        <v>158</v>
      </c>
      <c r="E737" s="49" t="s">
        <v>369</v>
      </c>
      <c r="F737" s="56"/>
      <c r="G737" s="62">
        <f>G738</f>
        <v>235</v>
      </c>
    </row>
    <row r="738" spans="1:7" ht="31.5">
      <c r="A738" s="163" t="s">
        <v>190</v>
      </c>
      <c r="B738" s="47"/>
      <c r="C738" s="48" t="s">
        <v>156</v>
      </c>
      <c r="D738" s="48" t="s">
        <v>158</v>
      </c>
      <c r="E738" s="49" t="s">
        <v>369</v>
      </c>
      <c r="F738" s="56" t="s">
        <v>290</v>
      </c>
      <c r="G738" s="62">
        <f>G739</f>
        <v>235</v>
      </c>
    </row>
    <row r="739" spans="1:7" ht="15.75">
      <c r="A739" s="253" t="s">
        <v>191</v>
      </c>
      <c r="B739" s="47"/>
      <c r="C739" s="48" t="s">
        <v>156</v>
      </c>
      <c r="D739" s="48" t="s">
        <v>158</v>
      </c>
      <c r="E739" s="49" t="s">
        <v>369</v>
      </c>
      <c r="F739" s="56" t="s">
        <v>192</v>
      </c>
      <c r="G739" s="62">
        <v>235</v>
      </c>
    </row>
    <row r="740" spans="1:18" ht="15.75">
      <c r="A740" s="64" t="s">
        <v>269</v>
      </c>
      <c r="B740" s="47"/>
      <c r="C740" s="48" t="s">
        <v>156</v>
      </c>
      <c r="D740" s="48" t="s">
        <v>158</v>
      </c>
      <c r="E740" s="49" t="s">
        <v>666</v>
      </c>
      <c r="F740" s="56"/>
      <c r="G740" s="62">
        <f>G741</f>
        <v>1263.3</v>
      </c>
      <c r="R740" s="333">
        <f>G744+G751+G757</f>
        <v>6931.25</v>
      </c>
    </row>
    <row r="741" spans="1:7" ht="15.75">
      <c r="A741" s="64" t="s">
        <v>190</v>
      </c>
      <c r="B741" s="47"/>
      <c r="C741" s="48" t="s">
        <v>156</v>
      </c>
      <c r="D741" s="48" t="s">
        <v>158</v>
      </c>
      <c r="E741" s="49" t="s">
        <v>666</v>
      </c>
      <c r="F741" s="56" t="s">
        <v>290</v>
      </c>
      <c r="G741" s="62">
        <f>G742</f>
        <v>1263.3</v>
      </c>
    </row>
    <row r="742" spans="1:7" ht="15.75" customHeight="1">
      <c r="A742" s="64" t="s">
        <v>191</v>
      </c>
      <c r="B742" s="47"/>
      <c r="C742" s="48" t="s">
        <v>156</v>
      </c>
      <c r="D742" s="48" t="s">
        <v>158</v>
      </c>
      <c r="E742" s="49" t="s">
        <v>666</v>
      </c>
      <c r="F742" s="56" t="s">
        <v>192</v>
      </c>
      <c r="G742" s="62">
        <f>300+663.3+300</f>
        <v>1263.3</v>
      </c>
    </row>
    <row r="743" spans="1:7" ht="30.75" customHeight="1">
      <c r="A743" s="235" t="s">
        <v>270</v>
      </c>
      <c r="B743" s="47"/>
      <c r="C743" s="48" t="s">
        <v>156</v>
      </c>
      <c r="D743" s="48" t="s">
        <v>158</v>
      </c>
      <c r="E743" s="49" t="s">
        <v>370</v>
      </c>
      <c r="F743" s="56"/>
      <c r="G743" s="62">
        <f>G744</f>
        <v>900</v>
      </c>
    </row>
    <row r="744" spans="1:7" ht="31.5">
      <c r="A744" s="163" t="s">
        <v>190</v>
      </c>
      <c r="B744" s="47"/>
      <c r="C744" s="48" t="s">
        <v>156</v>
      </c>
      <c r="D744" s="48" t="s">
        <v>158</v>
      </c>
      <c r="E744" s="49" t="s">
        <v>370</v>
      </c>
      <c r="F744" s="56" t="s">
        <v>290</v>
      </c>
      <c r="G744" s="62">
        <f>G745</f>
        <v>900</v>
      </c>
    </row>
    <row r="745" spans="1:7" ht="15.75">
      <c r="A745" s="253" t="s">
        <v>191</v>
      </c>
      <c r="B745" s="47"/>
      <c r="C745" s="48" t="s">
        <v>156</v>
      </c>
      <c r="D745" s="48" t="s">
        <v>158</v>
      </c>
      <c r="E745" s="49" t="s">
        <v>370</v>
      </c>
      <c r="F745" s="56" t="s">
        <v>192</v>
      </c>
      <c r="G745" s="62">
        <v>900</v>
      </c>
    </row>
    <row r="746" spans="1:7" ht="15.75">
      <c r="A746" s="273" t="s">
        <v>308</v>
      </c>
      <c r="B746" s="47"/>
      <c r="C746" s="48" t="s">
        <v>156</v>
      </c>
      <c r="D746" s="48" t="s">
        <v>158</v>
      </c>
      <c r="E746" s="49" t="s">
        <v>371</v>
      </c>
      <c r="F746" s="56"/>
      <c r="G746" s="62">
        <f>G747</f>
        <v>2600</v>
      </c>
    </row>
    <row r="747" spans="1:7" ht="31.5">
      <c r="A747" s="163" t="s">
        <v>190</v>
      </c>
      <c r="B747" s="47"/>
      <c r="C747" s="48" t="s">
        <v>156</v>
      </c>
      <c r="D747" s="48" t="s">
        <v>158</v>
      </c>
      <c r="E747" s="49" t="s">
        <v>371</v>
      </c>
      <c r="F747" s="56" t="s">
        <v>178</v>
      </c>
      <c r="G747" s="62">
        <f>G748</f>
        <v>2600</v>
      </c>
    </row>
    <row r="748" spans="1:7" ht="15.75">
      <c r="A748" s="253" t="s">
        <v>191</v>
      </c>
      <c r="B748" s="47"/>
      <c r="C748" s="48" t="s">
        <v>156</v>
      </c>
      <c r="D748" s="48" t="s">
        <v>158</v>
      </c>
      <c r="E748" s="49" t="s">
        <v>371</v>
      </c>
      <c r="F748" s="56" t="s">
        <v>192</v>
      </c>
      <c r="G748" s="62">
        <f>900+1700</f>
        <v>2600</v>
      </c>
    </row>
    <row r="749" spans="1:7" ht="47.25">
      <c r="A749" s="284" t="s">
        <v>553</v>
      </c>
      <c r="B749" s="47"/>
      <c r="C749" s="48" t="s">
        <v>156</v>
      </c>
      <c r="D749" s="48" t="s">
        <v>158</v>
      </c>
      <c r="E749" s="56" t="s">
        <v>419</v>
      </c>
      <c r="F749" s="56"/>
      <c r="G749" s="62">
        <f>G750</f>
        <v>50</v>
      </c>
    </row>
    <row r="750" spans="1:7" ht="30.75" customHeight="1">
      <c r="A750" s="163" t="s">
        <v>190</v>
      </c>
      <c r="B750" s="47"/>
      <c r="C750" s="48" t="s">
        <v>156</v>
      </c>
      <c r="D750" s="48" t="s">
        <v>158</v>
      </c>
      <c r="E750" s="56" t="s">
        <v>419</v>
      </c>
      <c r="F750" s="56" t="s">
        <v>178</v>
      </c>
      <c r="G750" s="62">
        <f>G751</f>
        <v>50</v>
      </c>
    </row>
    <row r="751" spans="1:7" ht="15.75">
      <c r="A751" s="253" t="s">
        <v>191</v>
      </c>
      <c r="B751" s="47"/>
      <c r="C751" s="48" t="s">
        <v>156</v>
      </c>
      <c r="D751" s="48" t="s">
        <v>158</v>
      </c>
      <c r="E751" s="56" t="s">
        <v>419</v>
      </c>
      <c r="F751" s="56" t="s">
        <v>192</v>
      </c>
      <c r="G751" s="62">
        <v>50</v>
      </c>
    </row>
    <row r="752" spans="1:26" s="16" customFormat="1" ht="31.5" hidden="1">
      <c r="A752" s="284" t="s">
        <v>556</v>
      </c>
      <c r="B752" s="47"/>
      <c r="C752" s="48" t="s">
        <v>156</v>
      </c>
      <c r="D752" s="48" t="s">
        <v>158</v>
      </c>
      <c r="E752" s="56" t="s">
        <v>557</v>
      </c>
      <c r="F752" s="56"/>
      <c r="G752" s="62">
        <f>G753</f>
        <v>0</v>
      </c>
      <c r="H752" s="293"/>
      <c r="I752" s="293"/>
      <c r="J752" s="293"/>
      <c r="K752" s="293"/>
      <c r="L752" s="293"/>
      <c r="M752" s="293"/>
      <c r="N752" s="293"/>
      <c r="O752" s="293"/>
      <c r="P752" s="293"/>
      <c r="Q752" s="222"/>
      <c r="R752" s="293"/>
      <c r="S752" s="293"/>
      <c r="T752" s="293"/>
      <c r="U752" s="293"/>
      <c r="V752" s="293"/>
      <c r="W752" s="293"/>
      <c r="X752" s="293"/>
      <c r="Y752" s="293"/>
      <c r="Z752" s="293"/>
    </row>
    <row r="753" spans="1:7" ht="31.5" hidden="1">
      <c r="A753" s="271" t="s">
        <v>190</v>
      </c>
      <c r="B753" s="47"/>
      <c r="C753" s="48" t="s">
        <v>156</v>
      </c>
      <c r="D753" s="48" t="s">
        <v>158</v>
      </c>
      <c r="E753" s="56" t="s">
        <v>557</v>
      </c>
      <c r="F753" s="56" t="s">
        <v>290</v>
      </c>
      <c r="G753" s="62">
        <f>G754</f>
        <v>0</v>
      </c>
    </row>
    <row r="754" spans="1:7" ht="15.75" hidden="1">
      <c r="A754" s="271" t="s">
        <v>191</v>
      </c>
      <c r="B754" s="47"/>
      <c r="C754" s="48" t="s">
        <v>156</v>
      </c>
      <c r="D754" s="48" t="s">
        <v>158</v>
      </c>
      <c r="E754" s="56" t="s">
        <v>557</v>
      </c>
      <c r="F754" s="56" t="s">
        <v>192</v>
      </c>
      <c r="G754" s="62">
        <f>300-300</f>
        <v>0</v>
      </c>
    </row>
    <row r="755" spans="1:7" ht="15.75" customHeight="1">
      <c r="A755" s="254" t="s">
        <v>524</v>
      </c>
      <c r="B755" s="111" t="s">
        <v>392</v>
      </c>
      <c r="C755" s="169"/>
      <c r="D755" s="169"/>
      <c r="E755" s="170"/>
      <c r="F755" s="169"/>
      <c r="G755" s="314">
        <f>G756+G769</f>
        <v>6136.432</v>
      </c>
    </row>
    <row r="756" spans="1:7" ht="30" customHeight="1">
      <c r="A756" s="234" t="s">
        <v>131</v>
      </c>
      <c r="B756" s="51"/>
      <c r="C756" s="45" t="s">
        <v>157</v>
      </c>
      <c r="D756" s="48"/>
      <c r="E756" s="49" t="s">
        <v>175</v>
      </c>
      <c r="F756" s="48"/>
      <c r="G756" s="58">
        <f>G757+G764</f>
        <v>6081.25</v>
      </c>
    </row>
    <row r="757" spans="1:7" ht="18.75" customHeight="1">
      <c r="A757" s="242" t="s">
        <v>205</v>
      </c>
      <c r="B757" s="66"/>
      <c r="C757" s="45" t="s">
        <v>157</v>
      </c>
      <c r="D757" s="45" t="s">
        <v>170</v>
      </c>
      <c r="E757" s="52" t="s">
        <v>175</v>
      </c>
      <c r="F757" s="67"/>
      <c r="G757" s="68">
        <f>G759</f>
        <v>5981.25</v>
      </c>
    </row>
    <row r="758" spans="1:7" ht="31.5">
      <c r="A758" s="285" t="s">
        <v>440</v>
      </c>
      <c r="B758" s="51"/>
      <c r="C758" s="45" t="s">
        <v>157</v>
      </c>
      <c r="D758" s="45" t="s">
        <v>170</v>
      </c>
      <c r="E758" s="52" t="s">
        <v>345</v>
      </c>
      <c r="F758" s="56"/>
      <c r="G758" s="58">
        <f>G759</f>
        <v>5981.25</v>
      </c>
    </row>
    <row r="759" spans="1:7" ht="31.5">
      <c r="A759" s="237" t="s">
        <v>121</v>
      </c>
      <c r="B759" s="51"/>
      <c r="C759" s="48" t="s">
        <v>157</v>
      </c>
      <c r="D759" s="48" t="s">
        <v>170</v>
      </c>
      <c r="E759" s="49" t="s">
        <v>396</v>
      </c>
      <c r="F759" s="56"/>
      <c r="G759" s="62">
        <f>G760+G762</f>
        <v>5981.25</v>
      </c>
    </row>
    <row r="760" spans="1:19" ht="47.25">
      <c r="A760" s="237" t="s">
        <v>116</v>
      </c>
      <c r="B760" s="51"/>
      <c r="C760" s="48" t="s">
        <v>157</v>
      </c>
      <c r="D760" s="48" t="s">
        <v>170</v>
      </c>
      <c r="E760" s="49" t="s">
        <v>396</v>
      </c>
      <c r="F760" s="56" t="s">
        <v>198</v>
      </c>
      <c r="G760" s="62">
        <f>G761</f>
        <v>5596.25</v>
      </c>
      <c r="R760" s="333" t="e">
        <f>G764+G769+G774+G777+G784+G790+G793+G797+G800+#REF!+G806</f>
        <v>#REF!</v>
      </c>
      <c r="S760" s="333" t="e">
        <f>R760-G760</f>
        <v>#REF!</v>
      </c>
    </row>
    <row r="761" spans="1:7" ht="15.75">
      <c r="A761" s="237" t="s">
        <v>193</v>
      </c>
      <c r="B761" s="55"/>
      <c r="C761" s="48" t="s">
        <v>157</v>
      </c>
      <c r="D761" s="48" t="s">
        <v>170</v>
      </c>
      <c r="E761" s="49" t="s">
        <v>396</v>
      </c>
      <c r="F761" s="56" t="s">
        <v>194</v>
      </c>
      <c r="G761" s="62">
        <f>4403.25+1193</f>
        <v>5596.25</v>
      </c>
    </row>
    <row r="762" spans="1:7" ht="18" customHeight="1">
      <c r="A762" s="237" t="s">
        <v>226</v>
      </c>
      <c r="B762" s="55"/>
      <c r="C762" s="48" t="s">
        <v>157</v>
      </c>
      <c r="D762" s="48" t="s">
        <v>170</v>
      </c>
      <c r="E762" s="49" t="s">
        <v>396</v>
      </c>
      <c r="F762" s="56" t="s">
        <v>188</v>
      </c>
      <c r="G762" s="62">
        <f>G763</f>
        <v>385</v>
      </c>
    </row>
    <row r="763" spans="1:7" ht="18" customHeight="1">
      <c r="A763" s="237" t="s">
        <v>189</v>
      </c>
      <c r="B763" s="55"/>
      <c r="C763" s="48" t="s">
        <v>157</v>
      </c>
      <c r="D763" s="48" t="s">
        <v>170</v>
      </c>
      <c r="E763" s="49" t="s">
        <v>396</v>
      </c>
      <c r="F763" s="56" t="s">
        <v>187</v>
      </c>
      <c r="G763" s="62">
        <v>385</v>
      </c>
    </row>
    <row r="764" spans="1:7" ht="18.75" customHeight="1">
      <c r="A764" s="242" t="s">
        <v>142</v>
      </c>
      <c r="B764" s="92"/>
      <c r="C764" s="93" t="s">
        <v>157</v>
      </c>
      <c r="D764" s="93" t="s">
        <v>123</v>
      </c>
      <c r="E764" s="52"/>
      <c r="F764" s="94"/>
      <c r="G764" s="58">
        <f>G765</f>
        <v>100</v>
      </c>
    </row>
    <row r="765" spans="1:7" ht="31.5">
      <c r="A765" s="285" t="s">
        <v>440</v>
      </c>
      <c r="B765" s="92"/>
      <c r="C765" s="93" t="s">
        <v>157</v>
      </c>
      <c r="D765" s="93" t="s">
        <v>123</v>
      </c>
      <c r="E765" s="52" t="s">
        <v>345</v>
      </c>
      <c r="F765" s="94"/>
      <c r="G765" s="58">
        <f>G766</f>
        <v>100</v>
      </c>
    </row>
    <row r="766" spans="1:7" ht="15.75">
      <c r="A766" s="238" t="s">
        <v>94</v>
      </c>
      <c r="B766" s="55"/>
      <c r="C766" s="80" t="s">
        <v>157</v>
      </c>
      <c r="D766" s="80" t="s">
        <v>123</v>
      </c>
      <c r="E766" s="81" t="s">
        <v>346</v>
      </c>
      <c r="F766" s="76"/>
      <c r="G766" s="62">
        <f>G767</f>
        <v>100</v>
      </c>
    </row>
    <row r="767" spans="1:7" ht="15.75">
      <c r="A767" s="237" t="s">
        <v>226</v>
      </c>
      <c r="B767" s="47"/>
      <c r="C767" s="80" t="s">
        <v>157</v>
      </c>
      <c r="D767" s="80" t="s">
        <v>123</v>
      </c>
      <c r="E767" s="81" t="s">
        <v>346</v>
      </c>
      <c r="F767" s="76" t="s">
        <v>188</v>
      </c>
      <c r="G767" s="62">
        <f>G768</f>
        <v>100</v>
      </c>
    </row>
    <row r="768" spans="1:7" ht="15.75">
      <c r="A768" s="237" t="s">
        <v>189</v>
      </c>
      <c r="B768" s="55"/>
      <c r="C768" s="80" t="s">
        <v>157</v>
      </c>
      <c r="D768" s="80" t="s">
        <v>123</v>
      </c>
      <c r="E768" s="81" t="s">
        <v>346</v>
      </c>
      <c r="F768" s="76" t="s">
        <v>187</v>
      </c>
      <c r="G768" s="62">
        <v>100</v>
      </c>
    </row>
    <row r="769" spans="1:7" ht="20.25" customHeight="1">
      <c r="A769" s="234" t="s">
        <v>155</v>
      </c>
      <c r="B769" s="51"/>
      <c r="C769" s="45" t="s">
        <v>127</v>
      </c>
      <c r="D769" s="48"/>
      <c r="E769" s="49" t="s">
        <v>175</v>
      </c>
      <c r="F769" s="48"/>
      <c r="G769" s="58">
        <f>G770</f>
        <v>55.182</v>
      </c>
    </row>
    <row r="770" spans="1:7" ht="15.75">
      <c r="A770" s="242" t="s">
        <v>331</v>
      </c>
      <c r="B770" s="66"/>
      <c r="C770" s="45" t="s">
        <v>127</v>
      </c>
      <c r="D770" s="45" t="s">
        <v>130</v>
      </c>
      <c r="E770" s="52" t="s">
        <v>175</v>
      </c>
      <c r="F770" s="67"/>
      <c r="G770" s="68">
        <f>G771</f>
        <v>55.182</v>
      </c>
    </row>
    <row r="771" spans="1:7" ht="31.5">
      <c r="A771" s="242" t="s">
        <v>440</v>
      </c>
      <c r="B771" s="66"/>
      <c r="C771" s="45" t="s">
        <v>127</v>
      </c>
      <c r="D771" s="45" t="s">
        <v>130</v>
      </c>
      <c r="E771" s="52" t="s">
        <v>345</v>
      </c>
      <c r="F771" s="67"/>
      <c r="G771" s="68">
        <f>G772</f>
        <v>55.182</v>
      </c>
    </row>
    <row r="772" spans="1:7" ht="31.5">
      <c r="A772" s="238" t="s">
        <v>334</v>
      </c>
      <c r="B772" s="66"/>
      <c r="C772" s="48" t="s">
        <v>127</v>
      </c>
      <c r="D772" s="48" t="s">
        <v>130</v>
      </c>
      <c r="E772" s="49" t="s">
        <v>333</v>
      </c>
      <c r="F772" s="69"/>
      <c r="G772" s="70">
        <f>G773</f>
        <v>55.182</v>
      </c>
    </row>
    <row r="773" spans="1:7" ht="15.75">
      <c r="A773" s="163" t="s">
        <v>89</v>
      </c>
      <c r="B773" s="66"/>
      <c r="C773" s="48" t="s">
        <v>127</v>
      </c>
      <c r="D773" s="48" t="s">
        <v>130</v>
      </c>
      <c r="E773" s="49" t="s">
        <v>333</v>
      </c>
      <c r="F773" s="56" t="s">
        <v>85</v>
      </c>
      <c r="G773" s="70">
        <f>G774</f>
        <v>55.182</v>
      </c>
    </row>
    <row r="774" spans="1:7" ht="15.75">
      <c r="A774" s="238" t="s">
        <v>84</v>
      </c>
      <c r="B774" s="66"/>
      <c r="C774" s="48" t="s">
        <v>127</v>
      </c>
      <c r="D774" s="48" t="s">
        <v>130</v>
      </c>
      <c r="E774" s="49" t="s">
        <v>333</v>
      </c>
      <c r="F774" s="56" t="s">
        <v>86</v>
      </c>
      <c r="G774" s="62">
        <v>55.182</v>
      </c>
    </row>
    <row r="775" spans="1:7" ht="31.5">
      <c r="A775" s="254" t="s">
        <v>525</v>
      </c>
      <c r="B775" s="111" t="s">
        <v>184</v>
      </c>
      <c r="C775" s="169"/>
      <c r="D775" s="169"/>
      <c r="E775" s="170"/>
      <c r="F775" s="169"/>
      <c r="G775" s="314">
        <f>G776+G796+G802+G818</f>
        <v>50342.77399999999</v>
      </c>
    </row>
    <row r="776" spans="1:7" ht="16.5" customHeight="1">
      <c r="A776" s="234" t="s">
        <v>131</v>
      </c>
      <c r="B776" s="51"/>
      <c r="C776" s="45" t="s">
        <v>157</v>
      </c>
      <c r="D776" s="48"/>
      <c r="E776" s="49" t="s">
        <v>175</v>
      </c>
      <c r="F776" s="48"/>
      <c r="G776" s="58">
        <f>G777</f>
        <v>21518.199999999997</v>
      </c>
    </row>
    <row r="777" spans="1:7" ht="15.75">
      <c r="A777" s="242" t="s">
        <v>142</v>
      </c>
      <c r="B777" s="66"/>
      <c r="C777" s="45" t="s">
        <v>157</v>
      </c>
      <c r="D777" s="45" t="s">
        <v>123</v>
      </c>
      <c r="E777" s="52" t="s">
        <v>175</v>
      </c>
      <c r="F777" s="67"/>
      <c r="G777" s="68">
        <f>G778</f>
        <v>21518.199999999997</v>
      </c>
    </row>
    <row r="778" spans="1:7" ht="31.5">
      <c r="A778" s="242" t="s">
        <v>439</v>
      </c>
      <c r="B778" s="66"/>
      <c r="C778" s="45" t="s">
        <v>157</v>
      </c>
      <c r="D778" s="45" t="s">
        <v>123</v>
      </c>
      <c r="E778" s="52" t="s">
        <v>19</v>
      </c>
      <c r="F778" s="67"/>
      <c r="G778" s="68">
        <f>G779+G790+G784+G793</f>
        <v>21518.199999999997</v>
      </c>
    </row>
    <row r="779" spans="1:7" ht="16.5" customHeight="1">
      <c r="A779" s="238" t="s">
        <v>115</v>
      </c>
      <c r="B779" s="66"/>
      <c r="C779" s="48" t="s">
        <v>157</v>
      </c>
      <c r="D779" s="48" t="s">
        <v>123</v>
      </c>
      <c r="E779" s="49" t="s">
        <v>70</v>
      </c>
      <c r="F779" s="69"/>
      <c r="G779" s="70">
        <f>G780+G782</f>
        <v>14603.4</v>
      </c>
    </row>
    <row r="780" spans="1:26" s="307" customFormat="1" ht="47.25">
      <c r="A780" s="237" t="s">
        <v>116</v>
      </c>
      <c r="B780" s="66"/>
      <c r="C780" s="48" t="s">
        <v>157</v>
      </c>
      <c r="D780" s="48" t="s">
        <v>123</v>
      </c>
      <c r="E780" s="49" t="s">
        <v>70</v>
      </c>
      <c r="F780" s="56" t="s">
        <v>198</v>
      </c>
      <c r="G780" s="70">
        <f>G781</f>
        <v>13901.1</v>
      </c>
      <c r="H780" s="336"/>
      <c r="I780" s="336"/>
      <c r="J780" s="336"/>
      <c r="K780" s="336"/>
      <c r="L780" s="336"/>
      <c r="M780" s="336"/>
      <c r="N780" s="336"/>
      <c r="O780" s="336"/>
      <c r="P780" s="336"/>
      <c r="Q780" s="337"/>
      <c r="R780" s="336"/>
      <c r="S780" s="336"/>
      <c r="T780" s="336"/>
      <c r="U780" s="336"/>
      <c r="V780" s="336"/>
      <c r="W780" s="336"/>
      <c r="X780" s="336"/>
      <c r="Y780" s="336"/>
      <c r="Z780" s="336"/>
    </row>
    <row r="781" spans="1:26" s="307" customFormat="1" ht="15.75">
      <c r="A781" s="272" t="s">
        <v>193</v>
      </c>
      <c r="B781" s="66"/>
      <c r="C781" s="48" t="s">
        <v>157</v>
      </c>
      <c r="D781" s="48" t="s">
        <v>123</v>
      </c>
      <c r="E781" s="49" t="s">
        <v>70</v>
      </c>
      <c r="F781" s="56" t="s">
        <v>194</v>
      </c>
      <c r="G781" s="62">
        <f>12227+1674.1</f>
        <v>13901.1</v>
      </c>
      <c r="H781" s="336"/>
      <c r="I781" s="336"/>
      <c r="J781" s="336"/>
      <c r="K781" s="336"/>
      <c r="L781" s="336"/>
      <c r="M781" s="336"/>
      <c r="N781" s="336"/>
      <c r="O781" s="336"/>
      <c r="P781" s="336"/>
      <c r="Q781" s="337"/>
      <c r="R781" s="336"/>
      <c r="S781" s="336"/>
      <c r="T781" s="336"/>
      <c r="U781" s="336"/>
      <c r="V781" s="336"/>
      <c r="W781" s="336"/>
      <c r="X781" s="336"/>
      <c r="Y781" s="336"/>
      <c r="Z781" s="336"/>
    </row>
    <row r="782" spans="1:26" s="307" customFormat="1" ht="15.75">
      <c r="A782" s="237" t="s">
        <v>226</v>
      </c>
      <c r="B782" s="55"/>
      <c r="C782" s="48" t="s">
        <v>157</v>
      </c>
      <c r="D782" s="48" t="s">
        <v>123</v>
      </c>
      <c r="E782" s="49" t="s">
        <v>70</v>
      </c>
      <c r="F782" s="56" t="s">
        <v>188</v>
      </c>
      <c r="G782" s="62">
        <f>G783</f>
        <v>702.3</v>
      </c>
      <c r="H782" s="336"/>
      <c r="I782" s="336"/>
      <c r="J782" s="336"/>
      <c r="K782" s="336"/>
      <c r="L782" s="336"/>
      <c r="M782" s="336"/>
      <c r="N782" s="336"/>
      <c r="O782" s="336"/>
      <c r="P782" s="336"/>
      <c r="Q782" s="337"/>
      <c r="R782" s="336"/>
      <c r="S782" s="336"/>
      <c r="T782" s="336"/>
      <c r="U782" s="336"/>
      <c r="V782" s="336"/>
      <c r="W782" s="336"/>
      <c r="X782" s="336"/>
      <c r="Y782" s="336"/>
      <c r="Z782" s="336"/>
    </row>
    <row r="783" spans="1:26" s="307" customFormat="1" ht="15.75">
      <c r="A783" s="282" t="s">
        <v>189</v>
      </c>
      <c r="B783" s="55"/>
      <c r="C783" s="48" t="s">
        <v>157</v>
      </c>
      <c r="D783" s="48" t="s">
        <v>123</v>
      </c>
      <c r="E783" s="49" t="s">
        <v>70</v>
      </c>
      <c r="F783" s="56" t="s">
        <v>187</v>
      </c>
      <c r="G783" s="62">
        <v>702.3</v>
      </c>
      <c r="H783" s="336"/>
      <c r="I783" s="336"/>
      <c r="J783" s="336"/>
      <c r="K783" s="336"/>
      <c r="L783" s="336"/>
      <c r="M783" s="336"/>
      <c r="N783" s="336"/>
      <c r="O783" s="336"/>
      <c r="P783" s="336"/>
      <c r="Q783" s="337"/>
      <c r="R783" s="336"/>
      <c r="S783" s="336"/>
      <c r="T783" s="336"/>
      <c r="U783" s="336"/>
      <c r="V783" s="336"/>
      <c r="W783" s="336"/>
      <c r="X783" s="336"/>
      <c r="Y783" s="336"/>
      <c r="Z783" s="336"/>
    </row>
    <row r="784" spans="1:26" s="307" customFormat="1" ht="31.5">
      <c r="A784" s="238" t="s">
        <v>92</v>
      </c>
      <c r="B784" s="66"/>
      <c r="C784" s="48" t="s">
        <v>157</v>
      </c>
      <c r="D784" s="48" t="s">
        <v>123</v>
      </c>
      <c r="E784" s="49" t="s">
        <v>219</v>
      </c>
      <c r="F784" s="69"/>
      <c r="G784" s="70">
        <f>G785+G787</f>
        <v>2841.2</v>
      </c>
      <c r="H784" s="336"/>
      <c r="I784" s="336"/>
      <c r="J784" s="336"/>
      <c r="K784" s="336"/>
      <c r="L784" s="336"/>
      <c r="M784" s="336"/>
      <c r="N784" s="336"/>
      <c r="O784" s="336"/>
      <c r="P784" s="336"/>
      <c r="Q784" s="337"/>
      <c r="R784" s="336"/>
      <c r="S784" s="336"/>
      <c r="T784" s="336"/>
      <c r="U784" s="336"/>
      <c r="V784" s="336"/>
      <c r="W784" s="336"/>
      <c r="X784" s="336"/>
      <c r="Y784" s="336"/>
      <c r="Z784" s="336"/>
    </row>
    <row r="785" spans="1:26" s="307" customFormat="1" ht="15.75">
      <c r="A785" s="237" t="s">
        <v>226</v>
      </c>
      <c r="B785" s="55"/>
      <c r="C785" s="48" t="s">
        <v>157</v>
      </c>
      <c r="D785" s="48" t="s">
        <v>123</v>
      </c>
      <c r="E785" s="49" t="s">
        <v>219</v>
      </c>
      <c r="F785" s="56" t="s">
        <v>188</v>
      </c>
      <c r="G785" s="62">
        <f>G786</f>
        <v>2819.2</v>
      </c>
      <c r="H785" s="336"/>
      <c r="I785" s="336"/>
      <c r="J785" s="336"/>
      <c r="K785" s="336"/>
      <c r="L785" s="336"/>
      <c r="M785" s="336"/>
      <c r="N785" s="336"/>
      <c r="O785" s="336"/>
      <c r="P785" s="336"/>
      <c r="Q785" s="337"/>
      <c r="R785" s="336"/>
      <c r="S785" s="336"/>
      <c r="T785" s="336"/>
      <c r="U785" s="336"/>
      <c r="V785" s="336"/>
      <c r="W785" s="336"/>
      <c r="X785" s="336"/>
      <c r="Y785" s="336"/>
      <c r="Z785" s="336"/>
    </row>
    <row r="786" spans="1:7" ht="15.75">
      <c r="A786" s="282" t="s">
        <v>189</v>
      </c>
      <c r="B786" s="55"/>
      <c r="C786" s="48" t="s">
        <v>157</v>
      </c>
      <c r="D786" s="157" t="s">
        <v>123</v>
      </c>
      <c r="E786" s="158" t="s">
        <v>219</v>
      </c>
      <c r="F786" s="159" t="s">
        <v>187</v>
      </c>
      <c r="G786" s="160">
        <f>2821.2-2</f>
        <v>2819.2</v>
      </c>
    </row>
    <row r="787" spans="1:7" ht="15.75">
      <c r="A787" s="237" t="s">
        <v>90</v>
      </c>
      <c r="B787" s="55"/>
      <c r="C787" s="48" t="s">
        <v>157</v>
      </c>
      <c r="D787" s="48" t="s">
        <v>123</v>
      </c>
      <c r="E787" s="49" t="s">
        <v>219</v>
      </c>
      <c r="F787" s="56" t="s">
        <v>87</v>
      </c>
      <c r="G787" s="62">
        <f>G789+G788</f>
        <v>22</v>
      </c>
    </row>
    <row r="788" spans="1:18" ht="16.5" customHeight="1">
      <c r="A788" s="237" t="s">
        <v>288</v>
      </c>
      <c r="B788" s="55"/>
      <c r="C788" s="48" t="s">
        <v>157</v>
      </c>
      <c r="D788" s="157" t="s">
        <v>123</v>
      </c>
      <c r="E788" s="49" t="s">
        <v>219</v>
      </c>
      <c r="F788" s="364" t="s">
        <v>598</v>
      </c>
      <c r="G788" s="160">
        <v>2</v>
      </c>
      <c r="R788" s="333">
        <f>G788+G846</f>
        <v>812.2</v>
      </c>
    </row>
    <row r="789" spans="1:7" ht="14.25" customHeight="1">
      <c r="A789" s="237" t="s">
        <v>209</v>
      </c>
      <c r="B789" s="55"/>
      <c r="C789" s="48" t="s">
        <v>157</v>
      </c>
      <c r="D789" s="157" t="s">
        <v>123</v>
      </c>
      <c r="E789" s="158" t="s">
        <v>219</v>
      </c>
      <c r="F789" s="159" t="s">
        <v>210</v>
      </c>
      <c r="G789" s="160">
        <v>20</v>
      </c>
    </row>
    <row r="790" spans="1:8" ht="15.75">
      <c r="A790" s="238" t="s">
        <v>109</v>
      </c>
      <c r="B790" s="66"/>
      <c r="C790" s="48" t="s">
        <v>157</v>
      </c>
      <c r="D790" s="48" t="s">
        <v>123</v>
      </c>
      <c r="E790" s="156" t="s">
        <v>20</v>
      </c>
      <c r="F790" s="69"/>
      <c r="G790" s="70">
        <f>G791</f>
        <v>526</v>
      </c>
      <c r="H790" s="58" t="e">
        <f>H791</f>
        <v>#REF!</v>
      </c>
    </row>
    <row r="791" spans="1:8" ht="15.75">
      <c r="A791" s="237" t="s">
        <v>226</v>
      </c>
      <c r="B791" s="55"/>
      <c r="C791" s="48" t="s">
        <v>157</v>
      </c>
      <c r="D791" s="48" t="s">
        <v>123</v>
      </c>
      <c r="E791" s="49" t="s">
        <v>20</v>
      </c>
      <c r="F791" s="56" t="s">
        <v>188</v>
      </c>
      <c r="G791" s="62">
        <f>G792</f>
        <v>526</v>
      </c>
      <c r="H791" s="62" t="e">
        <f>H792</f>
        <v>#REF!</v>
      </c>
    </row>
    <row r="792" spans="1:8" ht="15.75">
      <c r="A792" s="282" t="s">
        <v>189</v>
      </c>
      <c r="B792" s="55"/>
      <c r="C792" s="48" t="s">
        <v>157</v>
      </c>
      <c r="D792" s="48" t="s">
        <v>123</v>
      </c>
      <c r="E792" s="49" t="s">
        <v>20</v>
      </c>
      <c r="F792" s="56" t="s">
        <v>187</v>
      </c>
      <c r="G792" s="62">
        <v>526</v>
      </c>
      <c r="H792" s="62" t="e">
        <f>#REF!</f>
        <v>#REF!</v>
      </c>
    </row>
    <row r="793" spans="1:8" ht="15.75">
      <c r="A793" s="238" t="s">
        <v>403</v>
      </c>
      <c r="B793" s="66"/>
      <c r="C793" s="48" t="s">
        <v>157</v>
      </c>
      <c r="D793" s="48" t="s">
        <v>123</v>
      </c>
      <c r="E793" s="156" t="s">
        <v>644</v>
      </c>
      <c r="F793" s="69"/>
      <c r="G793" s="70">
        <f>G794</f>
        <v>3547.6000000000004</v>
      </c>
      <c r="H793" s="58" t="e">
        <f>H794</f>
        <v>#REF!</v>
      </c>
    </row>
    <row r="794" spans="1:8" ht="15.75">
      <c r="A794" s="237" t="s">
        <v>226</v>
      </c>
      <c r="B794" s="55"/>
      <c r="C794" s="48" t="s">
        <v>157</v>
      </c>
      <c r="D794" s="48" t="s">
        <v>123</v>
      </c>
      <c r="E794" s="156" t="s">
        <v>644</v>
      </c>
      <c r="F794" s="56" t="s">
        <v>188</v>
      </c>
      <c r="G794" s="62">
        <f>G795</f>
        <v>3547.6000000000004</v>
      </c>
      <c r="H794" s="62" t="e">
        <f>H795</f>
        <v>#REF!</v>
      </c>
    </row>
    <row r="795" spans="1:8" ht="15.75">
      <c r="A795" s="282" t="s">
        <v>189</v>
      </c>
      <c r="B795" s="55"/>
      <c r="C795" s="48" t="s">
        <v>157</v>
      </c>
      <c r="D795" s="48" t="s">
        <v>123</v>
      </c>
      <c r="E795" s="156" t="s">
        <v>644</v>
      </c>
      <c r="F795" s="56" t="s">
        <v>187</v>
      </c>
      <c r="G795" s="62">
        <f>319.3+3228.3</f>
        <v>3547.6000000000004</v>
      </c>
      <c r="H795" s="62" t="e">
        <f>#REF!</f>
        <v>#REF!</v>
      </c>
    </row>
    <row r="796" spans="1:26" s="13" customFormat="1" ht="29.25" customHeight="1">
      <c r="A796" s="234" t="s">
        <v>169</v>
      </c>
      <c r="B796" s="47"/>
      <c r="C796" s="45" t="s">
        <v>170</v>
      </c>
      <c r="D796" s="48"/>
      <c r="E796" s="49"/>
      <c r="F796" s="56"/>
      <c r="G796" s="58">
        <f>G797</f>
        <v>1264</v>
      </c>
      <c r="H796" s="31"/>
      <c r="I796" s="31"/>
      <c r="J796" s="31"/>
      <c r="K796" s="31"/>
      <c r="L796" s="31"/>
      <c r="M796" s="31"/>
      <c r="N796" s="31"/>
      <c r="O796" s="31"/>
      <c r="P796" s="31"/>
      <c r="Q796" s="32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s="13" customFormat="1" ht="15.75">
      <c r="A797" s="242" t="s">
        <v>136</v>
      </c>
      <c r="B797" s="51"/>
      <c r="C797" s="45" t="s">
        <v>170</v>
      </c>
      <c r="D797" s="45" t="s">
        <v>164</v>
      </c>
      <c r="E797" s="49"/>
      <c r="F797" s="69"/>
      <c r="G797" s="58">
        <f>G798</f>
        <v>1264</v>
      </c>
      <c r="H797" s="31"/>
      <c r="I797" s="31"/>
      <c r="J797" s="31"/>
      <c r="K797" s="31"/>
      <c r="L797" s="31"/>
      <c r="M797" s="31"/>
      <c r="N797" s="31"/>
      <c r="O797" s="31"/>
      <c r="P797" s="31"/>
      <c r="Q797" s="32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s="13" customFormat="1" ht="31.5">
      <c r="A798" s="242" t="s">
        <v>439</v>
      </c>
      <c r="B798" s="66"/>
      <c r="C798" s="45" t="s">
        <v>170</v>
      </c>
      <c r="D798" s="45" t="s">
        <v>164</v>
      </c>
      <c r="E798" s="52" t="s">
        <v>19</v>
      </c>
      <c r="F798" s="67"/>
      <c r="G798" s="68">
        <f>G801</f>
        <v>1264</v>
      </c>
      <c r="H798" s="31"/>
      <c r="I798" s="31"/>
      <c r="J798" s="31"/>
      <c r="K798" s="31"/>
      <c r="L798" s="31"/>
      <c r="M798" s="31"/>
      <c r="N798" s="31"/>
      <c r="O798" s="31"/>
      <c r="P798" s="31"/>
      <c r="Q798" s="32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s="13" customFormat="1" ht="15.75">
      <c r="A799" s="238" t="s">
        <v>110</v>
      </c>
      <c r="B799" s="47"/>
      <c r="C799" s="48" t="s">
        <v>170</v>
      </c>
      <c r="D799" s="48" t="s">
        <v>164</v>
      </c>
      <c r="E799" s="49" t="s">
        <v>21</v>
      </c>
      <c r="F799" s="56"/>
      <c r="G799" s="62">
        <f>G800</f>
        <v>1264</v>
      </c>
      <c r="H799" s="31"/>
      <c r="I799" s="31"/>
      <c r="J799" s="31"/>
      <c r="K799" s="31"/>
      <c r="L799" s="31"/>
      <c r="M799" s="31"/>
      <c r="N799" s="31"/>
      <c r="O799" s="31"/>
      <c r="P799" s="31"/>
      <c r="Q799" s="32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s="13" customFormat="1" ht="15.75">
      <c r="A800" s="237" t="s">
        <v>226</v>
      </c>
      <c r="B800" s="55"/>
      <c r="C800" s="48" t="s">
        <v>170</v>
      </c>
      <c r="D800" s="48" t="s">
        <v>164</v>
      </c>
      <c r="E800" s="49" t="s">
        <v>21</v>
      </c>
      <c r="F800" s="56" t="s">
        <v>188</v>
      </c>
      <c r="G800" s="62">
        <f>G801</f>
        <v>1264</v>
      </c>
      <c r="H800" s="31"/>
      <c r="I800" s="31"/>
      <c r="J800" s="31"/>
      <c r="K800" s="31"/>
      <c r="L800" s="31"/>
      <c r="M800" s="31"/>
      <c r="N800" s="31"/>
      <c r="O800" s="31"/>
      <c r="P800" s="31"/>
      <c r="Q800" s="32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s="13" customFormat="1" ht="15.75">
      <c r="A801" s="282" t="s">
        <v>189</v>
      </c>
      <c r="B801" s="55"/>
      <c r="C801" s="48" t="s">
        <v>170</v>
      </c>
      <c r="D801" s="48" t="s">
        <v>164</v>
      </c>
      <c r="E801" s="49" t="s">
        <v>21</v>
      </c>
      <c r="F801" s="56" t="s">
        <v>187</v>
      </c>
      <c r="G801" s="62">
        <f>896+368</f>
        <v>1264</v>
      </c>
      <c r="H801" s="31"/>
      <c r="I801" s="31"/>
      <c r="J801" s="31"/>
      <c r="K801" s="31"/>
      <c r="L801" s="31"/>
      <c r="M801" s="31"/>
      <c r="N801" s="31"/>
      <c r="O801" s="31"/>
      <c r="P801" s="31"/>
      <c r="Q801" s="32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s="13" customFormat="1" ht="15.75">
      <c r="A802" s="234" t="s">
        <v>144</v>
      </c>
      <c r="B802" s="47"/>
      <c r="C802" s="45" t="s">
        <v>172</v>
      </c>
      <c r="D802" s="45"/>
      <c r="E802" s="298" t="s">
        <v>175</v>
      </c>
      <c r="F802" s="299" t="s">
        <v>175</v>
      </c>
      <c r="G802" s="58">
        <f>G803</f>
        <v>24618.874</v>
      </c>
      <c r="H802" s="31"/>
      <c r="I802" s="31"/>
      <c r="J802" s="31"/>
      <c r="K802" s="31"/>
      <c r="L802" s="31"/>
      <c r="M802" s="31"/>
      <c r="N802" s="31"/>
      <c r="O802" s="31"/>
      <c r="P802" s="31"/>
      <c r="Q802" s="32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7" ht="15.75">
      <c r="A803" s="252" t="s">
        <v>208</v>
      </c>
      <c r="B803" s="51"/>
      <c r="C803" s="45" t="s">
        <v>172</v>
      </c>
      <c r="D803" s="45" t="s">
        <v>157</v>
      </c>
      <c r="E803" s="52"/>
      <c r="F803" s="57"/>
      <c r="G803" s="58">
        <f>G804+G811</f>
        <v>24618.874</v>
      </c>
    </row>
    <row r="804" spans="1:7" ht="16.5" customHeight="1">
      <c r="A804" s="242" t="s">
        <v>439</v>
      </c>
      <c r="B804" s="54"/>
      <c r="C804" s="45" t="s">
        <v>172</v>
      </c>
      <c r="D804" s="45" t="s">
        <v>157</v>
      </c>
      <c r="E804" s="52" t="s">
        <v>19</v>
      </c>
      <c r="F804" s="57"/>
      <c r="G804" s="58">
        <f>G805+G808</f>
        <v>3314.6</v>
      </c>
    </row>
    <row r="805" spans="1:7" ht="17.25" customHeight="1">
      <c r="A805" s="235" t="s">
        <v>444</v>
      </c>
      <c r="B805" s="55"/>
      <c r="C805" s="48" t="s">
        <v>172</v>
      </c>
      <c r="D805" s="48" t="s">
        <v>157</v>
      </c>
      <c r="E805" s="49" t="s">
        <v>510</v>
      </c>
      <c r="F805" s="56"/>
      <c r="G805" s="62">
        <f>G806</f>
        <v>100</v>
      </c>
    </row>
    <row r="806" spans="1:8" ht="15.75">
      <c r="A806" s="237" t="s">
        <v>226</v>
      </c>
      <c r="B806" s="55"/>
      <c r="C806" s="48" t="s">
        <v>172</v>
      </c>
      <c r="D806" s="48" t="s">
        <v>157</v>
      </c>
      <c r="E806" s="49" t="s">
        <v>510</v>
      </c>
      <c r="F806" s="56" t="s">
        <v>188</v>
      </c>
      <c r="G806" s="62">
        <f>G807</f>
        <v>100</v>
      </c>
      <c r="H806" s="62">
        <v>0</v>
      </c>
    </row>
    <row r="807" spans="1:8" ht="15.75">
      <c r="A807" s="282" t="s">
        <v>189</v>
      </c>
      <c r="B807" s="55"/>
      <c r="C807" s="48" t="s">
        <v>172</v>
      </c>
      <c r="D807" s="48" t="s">
        <v>157</v>
      </c>
      <c r="E807" s="49" t="s">
        <v>510</v>
      </c>
      <c r="F807" s="56" t="s">
        <v>187</v>
      </c>
      <c r="G807" s="62">
        <v>100</v>
      </c>
      <c r="H807" s="62">
        <f>H808</f>
        <v>0</v>
      </c>
    </row>
    <row r="808" spans="1:8" ht="15.75">
      <c r="A808" s="235" t="s">
        <v>441</v>
      </c>
      <c r="B808" s="55"/>
      <c r="C808" s="48" t="s">
        <v>172</v>
      </c>
      <c r="D808" s="48" t="s">
        <v>157</v>
      </c>
      <c r="E808" s="49" t="s">
        <v>9</v>
      </c>
      <c r="F808" s="56"/>
      <c r="G808" s="62">
        <f>G809</f>
        <v>3214.6</v>
      </c>
      <c r="H808" s="62">
        <f>H818</f>
        <v>0</v>
      </c>
    </row>
    <row r="809" spans="1:18" ht="15.75">
      <c r="A809" s="237" t="s">
        <v>226</v>
      </c>
      <c r="B809" s="55"/>
      <c r="C809" s="48" t="s">
        <v>172</v>
      </c>
      <c r="D809" s="48" t="s">
        <v>157</v>
      </c>
      <c r="E809" s="49" t="s">
        <v>9</v>
      </c>
      <c r="F809" s="56" t="s">
        <v>188</v>
      </c>
      <c r="G809" s="62">
        <f>G810</f>
        <v>3214.6</v>
      </c>
      <c r="H809" s="62">
        <v>0</v>
      </c>
      <c r="R809" s="333">
        <f>G814+G818</f>
        <v>23840.788</v>
      </c>
    </row>
    <row r="810" spans="1:7" ht="15.75">
      <c r="A810" s="282" t="s">
        <v>189</v>
      </c>
      <c r="B810" s="55"/>
      <c r="C810" s="48" t="s">
        <v>172</v>
      </c>
      <c r="D810" s="48" t="s">
        <v>157</v>
      </c>
      <c r="E810" s="49" t="s">
        <v>9</v>
      </c>
      <c r="F810" s="56" t="s">
        <v>187</v>
      </c>
      <c r="G810" s="62">
        <v>3214.6</v>
      </c>
    </row>
    <row r="811" spans="1:7" ht="31.5">
      <c r="A811" s="252" t="s">
        <v>322</v>
      </c>
      <c r="B811" s="54"/>
      <c r="C811" s="45" t="s">
        <v>172</v>
      </c>
      <c r="D811" s="45" t="s">
        <v>157</v>
      </c>
      <c r="E811" s="52" t="s">
        <v>323</v>
      </c>
      <c r="F811" s="57"/>
      <c r="G811" s="58">
        <f>G812+G815</f>
        <v>21304.274</v>
      </c>
    </row>
    <row r="812" spans="1:7" ht="16.5" customHeight="1">
      <c r="A812" s="257" t="s">
        <v>326</v>
      </c>
      <c r="B812" s="54"/>
      <c r="C812" s="48" t="s">
        <v>172</v>
      </c>
      <c r="D812" s="48" t="s">
        <v>157</v>
      </c>
      <c r="E812" s="49" t="s">
        <v>324</v>
      </c>
      <c r="F812" s="57"/>
      <c r="G812" s="62">
        <f>G813</f>
        <v>20899.088</v>
      </c>
    </row>
    <row r="813" spans="1:7" ht="15.75">
      <c r="A813" s="238" t="s">
        <v>90</v>
      </c>
      <c r="B813" s="55"/>
      <c r="C813" s="48" t="s">
        <v>172</v>
      </c>
      <c r="D813" s="48" t="s">
        <v>157</v>
      </c>
      <c r="E813" s="49" t="s">
        <v>324</v>
      </c>
      <c r="F813" s="56" t="s">
        <v>87</v>
      </c>
      <c r="G813" s="62">
        <f>G814</f>
        <v>20899.088</v>
      </c>
    </row>
    <row r="814" spans="1:26" s="13" customFormat="1" ht="15.75">
      <c r="A814" s="271" t="s">
        <v>209</v>
      </c>
      <c r="B814" s="55"/>
      <c r="C814" s="48" t="s">
        <v>172</v>
      </c>
      <c r="D814" s="48" t="s">
        <v>157</v>
      </c>
      <c r="E814" s="49" t="s">
        <v>324</v>
      </c>
      <c r="F814" s="56" t="s">
        <v>210</v>
      </c>
      <c r="G814" s="72">
        <v>20899.088</v>
      </c>
      <c r="H814" s="347"/>
      <c r="I814" s="31"/>
      <c r="J814" s="31"/>
      <c r="K814" s="31"/>
      <c r="L814" s="31"/>
      <c r="M814" s="31"/>
      <c r="N814" s="31"/>
      <c r="O814" s="31"/>
      <c r="P814" s="31"/>
      <c r="Q814" s="32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s="13" customFormat="1" ht="47.25">
      <c r="A815" s="257" t="s">
        <v>327</v>
      </c>
      <c r="B815" s="54"/>
      <c r="C815" s="48" t="s">
        <v>172</v>
      </c>
      <c r="D815" s="48" t="s">
        <v>157</v>
      </c>
      <c r="E815" s="49" t="s">
        <v>325</v>
      </c>
      <c r="F815" s="57"/>
      <c r="G815" s="62">
        <f>G816</f>
        <v>405.186</v>
      </c>
      <c r="H815" s="31"/>
      <c r="I815" s="31"/>
      <c r="J815" s="31"/>
      <c r="K815" s="31"/>
      <c r="L815" s="31"/>
      <c r="M815" s="31"/>
      <c r="N815" s="31"/>
      <c r="O815" s="31"/>
      <c r="P815" s="31"/>
      <c r="Q815" s="32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s="13" customFormat="1" ht="15.75">
      <c r="A816" s="238" t="s">
        <v>90</v>
      </c>
      <c r="B816" s="55"/>
      <c r="C816" s="48" t="s">
        <v>172</v>
      </c>
      <c r="D816" s="48" t="s">
        <v>157</v>
      </c>
      <c r="E816" s="49" t="s">
        <v>325</v>
      </c>
      <c r="F816" s="56" t="s">
        <v>87</v>
      </c>
      <c r="G816" s="62">
        <f>G817</f>
        <v>405.186</v>
      </c>
      <c r="H816" s="31"/>
      <c r="I816" s="31"/>
      <c r="J816" s="31"/>
      <c r="K816" s="31"/>
      <c r="L816" s="31"/>
      <c r="M816" s="31"/>
      <c r="N816" s="31"/>
      <c r="O816" s="31"/>
      <c r="P816" s="31"/>
      <c r="Q816" s="32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s="13" customFormat="1" ht="23.25" customHeight="1">
      <c r="A817" s="271" t="s">
        <v>209</v>
      </c>
      <c r="B817" s="55"/>
      <c r="C817" s="48" t="s">
        <v>172</v>
      </c>
      <c r="D817" s="48" t="s">
        <v>157</v>
      </c>
      <c r="E817" s="49" t="s">
        <v>325</v>
      </c>
      <c r="F817" s="56" t="s">
        <v>210</v>
      </c>
      <c r="G817" s="72">
        <v>405.186</v>
      </c>
      <c r="H817" s="31"/>
      <c r="I817" s="31"/>
      <c r="J817" s="31"/>
      <c r="K817" s="31"/>
      <c r="L817" s="31"/>
      <c r="M817" s="31"/>
      <c r="N817" s="31"/>
      <c r="O817" s="31"/>
      <c r="P817" s="31"/>
      <c r="Q817" s="32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s="13" customFormat="1" ht="15.75">
      <c r="A818" s="234" t="s">
        <v>155</v>
      </c>
      <c r="B818" s="47"/>
      <c r="C818" s="45" t="s">
        <v>127</v>
      </c>
      <c r="D818" s="45"/>
      <c r="E818" s="298" t="s">
        <v>175</v>
      </c>
      <c r="F818" s="299" t="s">
        <v>175</v>
      </c>
      <c r="G818" s="58">
        <f>G819</f>
        <v>2941.7</v>
      </c>
      <c r="H818" s="31"/>
      <c r="I818" s="31"/>
      <c r="J818" s="31"/>
      <c r="K818" s="31"/>
      <c r="L818" s="31"/>
      <c r="M818" s="31"/>
      <c r="N818" s="31"/>
      <c r="O818" s="31"/>
      <c r="P818" s="31"/>
      <c r="Q818" s="32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s="13" customFormat="1" ht="15.75">
      <c r="A819" s="252" t="s">
        <v>159</v>
      </c>
      <c r="B819" s="51"/>
      <c r="C819" s="45" t="s">
        <v>127</v>
      </c>
      <c r="D819" s="45" t="s">
        <v>170</v>
      </c>
      <c r="E819" s="52"/>
      <c r="F819" s="57"/>
      <c r="G819" s="58">
        <f>G820</f>
        <v>2941.7</v>
      </c>
      <c r="H819" s="31"/>
      <c r="I819" s="31"/>
      <c r="J819" s="31"/>
      <c r="K819" s="31"/>
      <c r="L819" s="31"/>
      <c r="M819" s="31"/>
      <c r="N819" s="31"/>
      <c r="O819" s="31"/>
      <c r="P819" s="31"/>
      <c r="Q819" s="32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s="13" customFormat="1" ht="31.5">
      <c r="A820" s="242" t="s">
        <v>439</v>
      </c>
      <c r="B820" s="54"/>
      <c r="C820" s="45" t="s">
        <v>127</v>
      </c>
      <c r="D820" s="45" t="s">
        <v>170</v>
      </c>
      <c r="E820" s="52" t="s">
        <v>19</v>
      </c>
      <c r="F820" s="57"/>
      <c r="G820" s="58">
        <f>G821</f>
        <v>2941.7</v>
      </c>
      <c r="H820" s="31"/>
      <c r="I820" s="31"/>
      <c r="J820" s="31"/>
      <c r="K820" s="31"/>
      <c r="L820" s="31"/>
      <c r="M820" s="31"/>
      <c r="N820" s="31"/>
      <c r="O820" s="31"/>
      <c r="P820" s="31"/>
      <c r="Q820" s="32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s="13" customFormat="1" ht="47.25">
      <c r="A821" s="235" t="s">
        <v>649</v>
      </c>
      <c r="B821" s="55"/>
      <c r="C821" s="48" t="s">
        <v>127</v>
      </c>
      <c r="D821" s="48" t="s">
        <v>170</v>
      </c>
      <c r="E821" s="49" t="s">
        <v>648</v>
      </c>
      <c r="F821" s="56"/>
      <c r="G821" s="62">
        <f>G822</f>
        <v>2941.7</v>
      </c>
      <c r="H821" s="31"/>
      <c r="I821" s="31"/>
      <c r="J821" s="31"/>
      <c r="K821" s="31"/>
      <c r="L821" s="31"/>
      <c r="M821" s="31"/>
      <c r="N821" s="31"/>
      <c r="O821" s="31"/>
      <c r="P821" s="31"/>
      <c r="Q821" s="32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s="13" customFormat="1" ht="15.75">
      <c r="A822" s="163" t="s">
        <v>227</v>
      </c>
      <c r="B822" s="55"/>
      <c r="C822" s="48" t="s">
        <v>127</v>
      </c>
      <c r="D822" s="48" t="s">
        <v>170</v>
      </c>
      <c r="E822" s="49" t="s">
        <v>648</v>
      </c>
      <c r="F822" s="56" t="s">
        <v>199</v>
      </c>
      <c r="G822" s="62">
        <f>G823</f>
        <v>2941.7</v>
      </c>
      <c r="H822" s="31"/>
      <c r="I822" s="31"/>
      <c r="J822" s="31"/>
      <c r="K822" s="31"/>
      <c r="L822" s="31"/>
      <c r="M822" s="31"/>
      <c r="N822" s="31"/>
      <c r="O822" s="31"/>
      <c r="P822" s="31"/>
      <c r="Q822" s="32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s="13" customFormat="1" ht="15.75">
      <c r="A823" s="271" t="s">
        <v>179</v>
      </c>
      <c r="B823" s="55"/>
      <c r="C823" s="48" t="s">
        <v>127</v>
      </c>
      <c r="D823" s="48" t="s">
        <v>170</v>
      </c>
      <c r="E823" s="49" t="s">
        <v>648</v>
      </c>
      <c r="F823" s="56" t="s">
        <v>200</v>
      </c>
      <c r="G823" s="62">
        <v>2941.7</v>
      </c>
      <c r="H823" s="31"/>
      <c r="I823" s="31"/>
      <c r="J823" s="31"/>
      <c r="K823" s="31"/>
      <c r="L823" s="31"/>
      <c r="M823" s="31"/>
      <c r="N823" s="31"/>
      <c r="O823" s="31"/>
      <c r="P823" s="31"/>
      <c r="Q823" s="32"/>
      <c r="R823" s="348" t="e">
        <f>G827+G835+G839+G842+G849+G853+#REF!+#REF!+#REF!+#REF!+G858+G861+G865+G887+G890+G893+G896+G900+G903+G908+#REF!+G914+G920+G923+#REF!+#REF!</f>
        <v>#REF!</v>
      </c>
      <c r="S823" s="31"/>
      <c r="T823" s="31"/>
      <c r="U823" s="31"/>
      <c r="V823" s="31"/>
      <c r="W823" s="31"/>
      <c r="X823" s="31"/>
      <c r="Y823" s="31"/>
      <c r="Z823" s="31"/>
    </row>
    <row r="824" spans="1:26" s="13" customFormat="1" ht="15.75">
      <c r="A824" s="254" t="s">
        <v>526</v>
      </c>
      <c r="B824" s="111" t="s">
        <v>207</v>
      </c>
      <c r="C824" s="169"/>
      <c r="D824" s="169"/>
      <c r="E824" s="170"/>
      <c r="F824" s="169"/>
      <c r="G824" s="314">
        <f>G825</f>
        <v>2639.3</v>
      </c>
      <c r="H824" s="31"/>
      <c r="I824" s="31"/>
      <c r="J824" s="31"/>
      <c r="K824" s="31"/>
      <c r="L824" s="31"/>
      <c r="M824" s="31"/>
      <c r="N824" s="31"/>
      <c r="O824" s="31"/>
      <c r="P824" s="31"/>
      <c r="Q824" s="32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s="13" customFormat="1" ht="15.75">
      <c r="A825" s="234" t="s">
        <v>131</v>
      </c>
      <c r="B825" s="51"/>
      <c r="C825" s="45" t="s">
        <v>157</v>
      </c>
      <c r="D825" s="48"/>
      <c r="E825" s="49" t="s">
        <v>175</v>
      </c>
      <c r="F825" s="48"/>
      <c r="G825" s="58">
        <f>G826</f>
        <v>2639.3</v>
      </c>
      <c r="H825" s="31"/>
      <c r="I825" s="31"/>
      <c r="J825" s="31"/>
      <c r="K825" s="31"/>
      <c r="L825" s="31"/>
      <c r="M825" s="31"/>
      <c r="N825" s="31"/>
      <c r="O825" s="31"/>
      <c r="P825" s="31"/>
      <c r="Q825" s="32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s="13" customFormat="1" ht="31.5">
      <c r="A826" s="242" t="s">
        <v>154</v>
      </c>
      <c r="B826" s="66"/>
      <c r="C826" s="45" t="s">
        <v>157</v>
      </c>
      <c r="D826" s="45" t="s">
        <v>130</v>
      </c>
      <c r="E826" s="52" t="s">
        <v>175</v>
      </c>
      <c r="F826" s="67"/>
      <c r="G826" s="68">
        <f>G827</f>
        <v>2639.3</v>
      </c>
      <c r="H826" s="31"/>
      <c r="I826" s="31"/>
      <c r="J826" s="31"/>
      <c r="K826" s="31"/>
      <c r="L826" s="31"/>
      <c r="M826" s="31"/>
      <c r="N826" s="31"/>
      <c r="O826" s="31"/>
      <c r="P826" s="31"/>
      <c r="Q826" s="32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s="13" customFormat="1" ht="31.5">
      <c r="A827" s="242" t="s">
        <v>527</v>
      </c>
      <c r="B827" s="66"/>
      <c r="C827" s="45" t="s">
        <v>157</v>
      </c>
      <c r="D827" s="45" t="s">
        <v>130</v>
      </c>
      <c r="E827" s="52" t="s">
        <v>71</v>
      </c>
      <c r="F827" s="67"/>
      <c r="G827" s="68">
        <f>G828+G832</f>
        <v>2639.3</v>
      </c>
      <c r="H827" s="31"/>
      <c r="I827" s="31"/>
      <c r="J827" s="31"/>
      <c r="K827" s="31"/>
      <c r="L827" s="31"/>
      <c r="M827" s="31"/>
      <c r="N827" s="31"/>
      <c r="O827" s="31"/>
      <c r="P827" s="31"/>
      <c r="Q827" s="32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s="13" customFormat="1" ht="31.5">
      <c r="A828" s="238" t="s">
        <v>639</v>
      </c>
      <c r="B828" s="66"/>
      <c r="C828" s="48" t="s">
        <v>157</v>
      </c>
      <c r="D828" s="48" t="s">
        <v>130</v>
      </c>
      <c r="E828" s="49" t="s">
        <v>72</v>
      </c>
      <c r="F828" s="69"/>
      <c r="G828" s="70">
        <f>G829</f>
        <v>1451.9</v>
      </c>
      <c r="H828" s="31"/>
      <c r="I828" s="31"/>
      <c r="J828" s="31"/>
      <c r="K828" s="31"/>
      <c r="L828" s="31"/>
      <c r="M828" s="31"/>
      <c r="N828" s="31"/>
      <c r="O828" s="31"/>
      <c r="P828" s="31"/>
      <c r="Q828" s="32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s="13" customFormat="1" ht="15.75">
      <c r="A829" s="238" t="s">
        <v>103</v>
      </c>
      <c r="B829" s="66"/>
      <c r="C829" s="48" t="s">
        <v>157</v>
      </c>
      <c r="D829" s="48" t="s">
        <v>130</v>
      </c>
      <c r="E829" s="49" t="s">
        <v>73</v>
      </c>
      <c r="F829" s="69"/>
      <c r="G829" s="70">
        <f>G830</f>
        <v>1451.9</v>
      </c>
      <c r="H829" s="31"/>
      <c r="I829" s="31"/>
      <c r="J829" s="31"/>
      <c r="K829" s="31"/>
      <c r="L829" s="31"/>
      <c r="M829" s="31"/>
      <c r="N829" s="31"/>
      <c r="O829" s="31"/>
      <c r="P829" s="31"/>
      <c r="Q829" s="32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s="13" customFormat="1" ht="47.25">
      <c r="A830" s="237" t="s">
        <v>116</v>
      </c>
      <c r="B830" s="66"/>
      <c r="C830" s="48" t="s">
        <v>157</v>
      </c>
      <c r="D830" s="48" t="s">
        <v>130</v>
      </c>
      <c r="E830" s="49" t="s">
        <v>73</v>
      </c>
      <c r="F830" s="56" t="s">
        <v>198</v>
      </c>
      <c r="G830" s="70">
        <f>G831</f>
        <v>1451.9</v>
      </c>
      <c r="H830" s="31"/>
      <c r="I830" s="31"/>
      <c r="J830" s="31"/>
      <c r="K830" s="31"/>
      <c r="L830" s="31"/>
      <c r="M830" s="31"/>
      <c r="N830" s="31"/>
      <c r="O830" s="31"/>
      <c r="P830" s="31"/>
      <c r="Q830" s="32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s="13" customFormat="1" ht="15.75">
      <c r="A831" s="237" t="s">
        <v>193</v>
      </c>
      <c r="B831" s="66"/>
      <c r="C831" s="48" t="s">
        <v>157</v>
      </c>
      <c r="D831" s="48" t="s">
        <v>130</v>
      </c>
      <c r="E831" s="49" t="s">
        <v>73</v>
      </c>
      <c r="F831" s="56" t="s">
        <v>194</v>
      </c>
      <c r="G831" s="62">
        <f>1777-325.1</f>
        <v>1451.9</v>
      </c>
      <c r="H831" s="31"/>
      <c r="I831" s="31"/>
      <c r="J831" s="31"/>
      <c r="K831" s="31"/>
      <c r="L831" s="31"/>
      <c r="M831" s="31"/>
      <c r="N831" s="31"/>
      <c r="O831" s="31"/>
      <c r="P831" s="31"/>
      <c r="Q831" s="32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s="13" customFormat="1" ht="15.75">
      <c r="A832" s="240" t="s">
        <v>528</v>
      </c>
      <c r="B832" s="66"/>
      <c r="C832" s="48" t="s">
        <v>157</v>
      </c>
      <c r="D832" s="48" t="s">
        <v>130</v>
      </c>
      <c r="E832" s="49" t="s">
        <v>640</v>
      </c>
      <c r="F832" s="56"/>
      <c r="G832" s="62">
        <f>G833</f>
        <v>1187.4</v>
      </c>
      <c r="H832" s="31"/>
      <c r="I832" s="31"/>
      <c r="J832" s="31"/>
      <c r="K832" s="31"/>
      <c r="L832" s="31"/>
      <c r="M832" s="31"/>
      <c r="N832" s="31"/>
      <c r="O832" s="31"/>
      <c r="P832" s="31"/>
      <c r="Q832" s="32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s="13" customFormat="1" ht="15.75">
      <c r="A833" s="238" t="s">
        <v>103</v>
      </c>
      <c r="B833" s="66"/>
      <c r="C833" s="48" t="s">
        <v>157</v>
      </c>
      <c r="D833" s="48" t="s">
        <v>130</v>
      </c>
      <c r="E833" s="49" t="s">
        <v>641</v>
      </c>
      <c r="F833" s="69"/>
      <c r="G833" s="70">
        <f>G834+G836</f>
        <v>1187.4</v>
      </c>
      <c r="H833" s="31"/>
      <c r="I833" s="31"/>
      <c r="J833" s="31"/>
      <c r="K833" s="31"/>
      <c r="L833" s="31"/>
      <c r="M833" s="31"/>
      <c r="N833" s="31"/>
      <c r="O833" s="31"/>
      <c r="P833" s="31"/>
      <c r="Q833" s="32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s="13" customFormat="1" ht="47.25">
      <c r="A834" s="237" t="s">
        <v>116</v>
      </c>
      <c r="B834" s="66"/>
      <c r="C834" s="48" t="s">
        <v>157</v>
      </c>
      <c r="D834" s="48" t="s">
        <v>130</v>
      </c>
      <c r="E834" s="49" t="s">
        <v>641</v>
      </c>
      <c r="F834" s="56" t="s">
        <v>198</v>
      </c>
      <c r="G834" s="70">
        <f>G835</f>
        <v>1147.5</v>
      </c>
      <c r="H834" s="31"/>
      <c r="I834" s="31"/>
      <c r="J834" s="31"/>
      <c r="K834" s="31"/>
      <c r="L834" s="31"/>
      <c r="M834" s="31"/>
      <c r="N834" s="31"/>
      <c r="O834" s="31"/>
      <c r="P834" s="31"/>
      <c r="Q834" s="32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s="13" customFormat="1" ht="15.75">
      <c r="A835" s="237" t="s">
        <v>193</v>
      </c>
      <c r="B835" s="66"/>
      <c r="C835" s="48" t="s">
        <v>157</v>
      </c>
      <c r="D835" s="48" t="s">
        <v>130</v>
      </c>
      <c r="E835" s="49" t="s">
        <v>641</v>
      </c>
      <c r="F835" s="56" t="s">
        <v>194</v>
      </c>
      <c r="G835" s="62">
        <f>1317-169.5</f>
        <v>1147.5</v>
      </c>
      <c r="H835" s="31"/>
      <c r="I835" s="31"/>
      <c r="J835" s="31"/>
      <c r="K835" s="31"/>
      <c r="L835" s="31"/>
      <c r="M835" s="31"/>
      <c r="N835" s="31"/>
      <c r="O835" s="31"/>
      <c r="P835" s="31"/>
      <c r="Q835" s="32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s="13" customFormat="1" ht="15.75">
      <c r="A836" s="237" t="s">
        <v>226</v>
      </c>
      <c r="B836" s="55"/>
      <c r="C836" s="48" t="s">
        <v>157</v>
      </c>
      <c r="D836" s="48" t="s">
        <v>130</v>
      </c>
      <c r="E836" s="49" t="s">
        <v>641</v>
      </c>
      <c r="F836" s="56" t="s">
        <v>188</v>
      </c>
      <c r="G836" s="62">
        <f>G837</f>
        <v>39.9</v>
      </c>
      <c r="H836" s="31"/>
      <c r="I836" s="31"/>
      <c r="J836" s="31"/>
      <c r="K836" s="31"/>
      <c r="L836" s="31"/>
      <c r="M836" s="31"/>
      <c r="N836" s="31"/>
      <c r="O836" s="31"/>
      <c r="P836" s="31"/>
      <c r="Q836" s="32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s="13" customFormat="1" ht="15.75">
      <c r="A837" s="257" t="s">
        <v>189</v>
      </c>
      <c r="B837" s="55"/>
      <c r="C837" s="48" t="s">
        <v>157</v>
      </c>
      <c r="D837" s="48" t="s">
        <v>130</v>
      </c>
      <c r="E837" s="49" t="s">
        <v>641</v>
      </c>
      <c r="F837" s="56" t="s">
        <v>187</v>
      </c>
      <c r="G837" s="62">
        <v>39.9</v>
      </c>
      <c r="H837" s="31"/>
      <c r="I837" s="31"/>
      <c r="J837" s="31"/>
      <c r="K837" s="31"/>
      <c r="L837" s="31"/>
      <c r="M837" s="31"/>
      <c r="N837" s="31"/>
      <c r="O837" s="31"/>
      <c r="P837" s="31"/>
      <c r="Q837" s="32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s="13" customFormat="1" ht="31.5">
      <c r="A838" s="254" t="s">
        <v>609</v>
      </c>
      <c r="B838" s="111" t="s">
        <v>213</v>
      </c>
      <c r="C838" s="169"/>
      <c r="D838" s="169"/>
      <c r="E838" s="170"/>
      <c r="F838" s="169"/>
      <c r="G838" s="314">
        <f>G839+G847+G860+G954+G941+G947+G963</f>
        <v>184305.62999999998</v>
      </c>
      <c r="H838" s="31"/>
      <c r="I838" s="31"/>
      <c r="J838" s="31"/>
      <c r="K838" s="31"/>
      <c r="L838" s="31"/>
      <c r="M838" s="31"/>
      <c r="N838" s="31"/>
      <c r="O838" s="31"/>
      <c r="P838" s="31"/>
      <c r="Q838" s="32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s="13" customFormat="1" ht="40.5" customHeight="1">
      <c r="A839" s="234" t="s">
        <v>131</v>
      </c>
      <c r="B839" s="51"/>
      <c r="C839" s="45" t="s">
        <v>157</v>
      </c>
      <c r="D839" s="48"/>
      <c r="E839" s="49" t="s">
        <v>175</v>
      </c>
      <c r="F839" s="48"/>
      <c r="G839" s="104">
        <f>G841</f>
        <v>17526.8</v>
      </c>
      <c r="H839" s="31"/>
      <c r="I839" s="31"/>
      <c r="J839" s="31"/>
      <c r="K839" s="31"/>
      <c r="L839" s="31"/>
      <c r="M839" s="31"/>
      <c r="N839" s="31"/>
      <c r="O839" s="31"/>
      <c r="P839" s="31"/>
      <c r="Q839" s="32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s="13" customFormat="1" ht="31.5">
      <c r="A840" s="234" t="s">
        <v>205</v>
      </c>
      <c r="B840" s="51"/>
      <c r="C840" s="45" t="s">
        <v>157</v>
      </c>
      <c r="D840" s="45" t="s">
        <v>170</v>
      </c>
      <c r="E840" s="52"/>
      <c r="F840" s="57"/>
      <c r="G840" s="58">
        <f>G841</f>
        <v>17526.8</v>
      </c>
      <c r="H840" s="31"/>
      <c r="I840" s="31"/>
      <c r="J840" s="31"/>
      <c r="K840" s="31"/>
      <c r="L840" s="31"/>
      <c r="M840" s="31"/>
      <c r="N840" s="31"/>
      <c r="O840" s="31"/>
      <c r="P840" s="31"/>
      <c r="Q840" s="32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s="13" customFormat="1" ht="47.25">
      <c r="A841" s="234" t="s">
        <v>492</v>
      </c>
      <c r="B841" s="51"/>
      <c r="C841" s="45" t="s">
        <v>157</v>
      </c>
      <c r="D841" s="45" t="s">
        <v>170</v>
      </c>
      <c r="E841" s="52" t="s">
        <v>261</v>
      </c>
      <c r="F841" s="57"/>
      <c r="G841" s="58">
        <f>G842</f>
        <v>17526.8</v>
      </c>
      <c r="H841" s="31"/>
      <c r="I841" s="31"/>
      <c r="J841" s="31"/>
      <c r="K841" s="31"/>
      <c r="L841" s="31"/>
      <c r="M841" s="31"/>
      <c r="N841" s="31"/>
      <c r="O841" s="31"/>
      <c r="P841" s="31"/>
      <c r="Q841" s="32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s="13" customFormat="1" ht="27.75" customHeight="1">
      <c r="A842" s="235" t="s">
        <v>115</v>
      </c>
      <c r="B842" s="51"/>
      <c r="C842" s="48" t="s">
        <v>157</v>
      </c>
      <c r="D842" s="48" t="s">
        <v>170</v>
      </c>
      <c r="E842" s="49" t="s">
        <v>262</v>
      </c>
      <c r="F842" s="56"/>
      <c r="G842" s="62">
        <f>G843+G845</f>
        <v>17526.8</v>
      </c>
      <c r="H842" s="31"/>
      <c r="I842" s="31"/>
      <c r="J842" s="31"/>
      <c r="K842" s="31"/>
      <c r="L842" s="31"/>
      <c r="M842" s="31"/>
      <c r="N842" s="31"/>
      <c r="O842" s="31"/>
      <c r="P842" s="31"/>
      <c r="Q842" s="32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s="13" customFormat="1" ht="47.25">
      <c r="A843" s="237" t="s">
        <v>116</v>
      </c>
      <c r="B843" s="51"/>
      <c r="C843" s="48" t="s">
        <v>157</v>
      </c>
      <c r="D843" s="48" t="s">
        <v>170</v>
      </c>
      <c r="E843" s="49" t="s">
        <v>262</v>
      </c>
      <c r="F843" s="56" t="s">
        <v>198</v>
      </c>
      <c r="G843" s="62">
        <f>G844</f>
        <v>16716.6</v>
      </c>
      <c r="H843" s="31"/>
      <c r="I843" s="31"/>
      <c r="J843" s="31"/>
      <c r="K843" s="31"/>
      <c r="L843" s="31"/>
      <c r="M843" s="31"/>
      <c r="N843" s="31"/>
      <c r="O843" s="31"/>
      <c r="P843" s="31"/>
      <c r="Q843" s="32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s="13" customFormat="1" ht="15.75">
      <c r="A844" s="237" t="s">
        <v>193</v>
      </c>
      <c r="B844" s="55"/>
      <c r="C844" s="48" t="s">
        <v>157</v>
      </c>
      <c r="D844" s="48" t="s">
        <v>170</v>
      </c>
      <c r="E844" s="49" t="s">
        <v>262</v>
      </c>
      <c r="F844" s="56" t="s">
        <v>194</v>
      </c>
      <c r="G844" s="62">
        <v>16716.6</v>
      </c>
      <c r="H844" s="31"/>
      <c r="I844" s="31"/>
      <c r="J844" s="31"/>
      <c r="K844" s="31"/>
      <c r="L844" s="31"/>
      <c r="M844" s="31"/>
      <c r="N844" s="31"/>
      <c r="O844" s="31"/>
      <c r="P844" s="31"/>
      <c r="Q844" s="34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s="13" customFormat="1" ht="15.75">
      <c r="A845" s="237" t="s">
        <v>226</v>
      </c>
      <c r="B845" s="55"/>
      <c r="C845" s="48" t="s">
        <v>157</v>
      </c>
      <c r="D845" s="48" t="s">
        <v>170</v>
      </c>
      <c r="E845" s="49" t="s">
        <v>262</v>
      </c>
      <c r="F845" s="56" t="s">
        <v>188</v>
      </c>
      <c r="G845" s="62">
        <f>G846</f>
        <v>810.2</v>
      </c>
      <c r="H845" s="31"/>
      <c r="I845" s="31"/>
      <c r="J845" s="31"/>
      <c r="K845" s="31"/>
      <c r="L845" s="31"/>
      <c r="M845" s="31"/>
      <c r="N845" s="31"/>
      <c r="O845" s="31"/>
      <c r="P845" s="31"/>
      <c r="Q845" s="32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s="13" customFormat="1" ht="15.75">
      <c r="A846" s="237" t="s">
        <v>189</v>
      </c>
      <c r="B846" s="55"/>
      <c r="C846" s="48" t="s">
        <v>157</v>
      </c>
      <c r="D846" s="48" t="s">
        <v>170</v>
      </c>
      <c r="E846" s="49" t="s">
        <v>262</v>
      </c>
      <c r="F846" s="56" t="s">
        <v>187</v>
      </c>
      <c r="G846" s="62">
        <v>810.2</v>
      </c>
      <c r="H846" s="31"/>
      <c r="I846" s="31"/>
      <c r="J846" s="31"/>
      <c r="K846" s="31"/>
      <c r="L846" s="31"/>
      <c r="M846" s="31"/>
      <c r="N846" s="31"/>
      <c r="O846" s="31"/>
      <c r="P846" s="31"/>
      <c r="Q846" s="32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s="13" customFormat="1" ht="28.5" customHeight="1">
      <c r="A847" s="234" t="s">
        <v>182</v>
      </c>
      <c r="B847" s="47"/>
      <c r="C847" s="45" t="s">
        <v>170</v>
      </c>
      <c r="D847" s="48"/>
      <c r="E847" s="49"/>
      <c r="F847" s="56"/>
      <c r="G847" s="58">
        <f>G848</f>
        <v>40523.9</v>
      </c>
      <c r="H847" s="31"/>
      <c r="I847" s="31"/>
      <c r="J847" s="31"/>
      <c r="K847" s="31"/>
      <c r="L847" s="31"/>
      <c r="M847" s="31"/>
      <c r="N847" s="31"/>
      <c r="O847" s="31"/>
      <c r="P847" s="31"/>
      <c r="Q847" s="32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s="13" customFormat="1" ht="29.25" customHeight="1">
      <c r="A848" s="252" t="s">
        <v>137</v>
      </c>
      <c r="B848" s="51"/>
      <c r="C848" s="45" t="s">
        <v>170</v>
      </c>
      <c r="D848" s="45" t="s">
        <v>168</v>
      </c>
      <c r="E848" s="52"/>
      <c r="F848" s="57"/>
      <c r="G848" s="58">
        <f>G853+G849</f>
        <v>40523.9</v>
      </c>
      <c r="H848" s="31"/>
      <c r="I848" s="31"/>
      <c r="J848" s="31"/>
      <c r="K848" s="31"/>
      <c r="L848" s="31"/>
      <c r="M848" s="31"/>
      <c r="N848" s="31"/>
      <c r="O848" s="31"/>
      <c r="P848" s="31"/>
      <c r="Q848" s="32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s="13" customFormat="1" ht="31.5">
      <c r="A849" s="234" t="s">
        <v>452</v>
      </c>
      <c r="B849" s="51"/>
      <c r="C849" s="45" t="s">
        <v>170</v>
      </c>
      <c r="D849" s="45" t="s">
        <v>168</v>
      </c>
      <c r="E849" s="52" t="s">
        <v>328</v>
      </c>
      <c r="F849" s="57"/>
      <c r="G849" s="58">
        <f>G850</f>
        <v>505.9</v>
      </c>
      <c r="H849" s="31"/>
      <c r="I849" s="31"/>
      <c r="J849" s="31"/>
      <c r="K849" s="31"/>
      <c r="L849" s="31"/>
      <c r="M849" s="31"/>
      <c r="N849" s="31"/>
      <c r="O849" s="31"/>
      <c r="P849" s="31"/>
      <c r="Q849" s="32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s="13" customFormat="1" ht="19.5" customHeight="1">
      <c r="A850" s="240" t="s">
        <v>455</v>
      </c>
      <c r="B850" s="47"/>
      <c r="C850" s="48" t="s">
        <v>170</v>
      </c>
      <c r="D850" s="48" t="s">
        <v>168</v>
      </c>
      <c r="E850" s="49" t="s">
        <v>453</v>
      </c>
      <c r="F850" s="56"/>
      <c r="G850" s="62">
        <f>G851</f>
        <v>505.9</v>
      </c>
      <c r="H850" s="31"/>
      <c r="I850" s="31"/>
      <c r="J850" s="31"/>
      <c r="K850" s="31"/>
      <c r="L850" s="31"/>
      <c r="M850" s="31"/>
      <c r="N850" s="31"/>
      <c r="O850" s="31"/>
      <c r="P850" s="31"/>
      <c r="Q850" s="32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s="13" customFormat="1" ht="15.75">
      <c r="A851" s="237" t="s">
        <v>226</v>
      </c>
      <c r="B851" s="51"/>
      <c r="C851" s="48" t="s">
        <v>170</v>
      </c>
      <c r="D851" s="48" t="s">
        <v>168</v>
      </c>
      <c r="E851" s="49" t="s">
        <v>453</v>
      </c>
      <c r="F851" s="56" t="s">
        <v>188</v>
      </c>
      <c r="G851" s="62">
        <f>G852</f>
        <v>505.9</v>
      </c>
      <c r="H851" s="31"/>
      <c r="I851" s="31"/>
      <c r="J851" s="31"/>
      <c r="K851" s="31"/>
      <c r="L851" s="31"/>
      <c r="M851" s="31"/>
      <c r="N851" s="31"/>
      <c r="O851" s="31"/>
      <c r="P851" s="31"/>
      <c r="Q851" s="32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s="13" customFormat="1" ht="15.75">
      <c r="A852" s="237" t="s">
        <v>189</v>
      </c>
      <c r="B852" s="51"/>
      <c r="C852" s="48" t="s">
        <v>170</v>
      </c>
      <c r="D852" s="48" t="s">
        <v>168</v>
      </c>
      <c r="E852" s="49" t="s">
        <v>453</v>
      </c>
      <c r="F852" s="56" t="s">
        <v>187</v>
      </c>
      <c r="G852" s="62">
        <v>505.9</v>
      </c>
      <c r="H852" s="31"/>
      <c r="I852" s="31"/>
      <c r="J852" s="31"/>
      <c r="K852" s="31"/>
      <c r="L852" s="31"/>
      <c r="M852" s="31"/>
      <c r="N852" s="31"/>
      <c r="O852" s="31"/>
      <c r="P852" s="31"/>
      <c r="Q852" s="32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s="13" customFormat="1" ht="31.5">
      <c r="A853" s="239" t="s">
        <v>442</v>
      </c>
      <c r="B853" s="51"/>
      <c r="C853" s="45" t="s">
        <v>170</v>
      </c>
      <c r="D853" s="45" t="s">
        <v>168</v>
      </c>
      <c r="E853" s="52" t="s">
        <v>15</v>
      </c>
      <c r="F853" s="57"/>
      <c r="G853" s="58">
        <f>G854+G857</f>
        <v>40018</v>
      </c>
      <c r="H853" s="31"/>
      <c r="I853" s="31"/>
      <c r="J853" s="31"/>
      <c r="K853" s="31"/>
      <c r="L853" s="31"/>
      <c r="M853" s="31"/>
      <c r="N853" s="31"/>
      <c r="O853" s="31"/>
      <c r="P853" s="31"/>
      <c r="Q853" s="32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s="13" customFormat="1" ht="63">
      <c r="A854" s="255" t="s">
        <v>231</v>
      </c>
      <c r="B854" s="47"/>
      <c r="C854" s="48" t="s">
        <v>170</v>
      </c>
      <c r="D854" s="48" t="s">
        <v>168</v>
      </c>
      <c r="E854" s="49" t="s">
        <v>16</v>
      </c>
      <c r="F854" s="56"/>
      <c r="G854" s="62">
        <f>G856</f>
        <v>39518</v>
      </c>
      <c r="H854" s="31"/>
      <c r="I854" s="31"/>
      <c r="J854" s="31"/>
      <c r="K854" s="31"/>
      <c r="L854" s="31"/>
      <c r="M854" s="31"/>
      <c r="N854" s="31"/>
      <c r="O854" s="31"/>
      <c r="P854" s="31"/>
      <c r="Q854" s="32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s="13" customFormat="1" ht="15.75">
      <c r="A855" s="237" t="s">
        <v>226</v>
      </c>
      <c r="B855" s="47"/>
      <c r="C855" s="48" t="s">
        <v>170</v>
      </c>
      <c r="D855" s="48" t="s">
        <v>168</v>
      </c>
      <c r="E855" s="49" t="s">
        <v>16</v>
      </c>
      <c r="F855" s="56" t="s">
        <v>188</v>
      </c>
      <c r="G855" s="62">
        <f>G856</f>
        <v>39518</v>
      </c>
      <c r="H855" s="31"/>
      <c r="I855" s="31"/>
      <c r="J855" s="31"/>
      <c r="K855" s="31"/>
      <c r="L855" s="31"/>
      <c r="M855" s="31"/>
      <c r="N855" s="31"/>
      <c r="O855" s="31"/>
      <c r="P855" s="31"/>
      <c r="Q855" s="32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s="13" customFormat="1" ht="15.75">
      <c r="A856" s="237" t="s">
        <v>189</v>
      </c>
      <c r="B856" s="47"/>
      <c r="C856" s="48" t="s">
        <v>170</v>
      </c>
      <c r="D856" s="48" t="s">
        <v>168</v>
      </c>
      <c r="E856" s="49" t="s">
        <v>16</v>
      </c>
      <c r="F856" s="56" t="s">
        <v>187</v>
      </c>
      <c r="G856" s="62">
        <f>37783.8+1734.2</f>
        <v>39518</v>
      </c>
      <c r="H856" s="31"/>
      <c r="I856" s="31"/>
      <c r="J856" s="31"/>
      <c r="K856" s="31"/>
      <c r="L856" s="31"/>
      <c r="M856" s="31"/>
      <c r="N856" s="31"/>
      <c r="O856" s="31"/>
      <c r="P856" s="31"/>
      <c r="Q856" s="32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s="13" customFormat="1" ht="47.25">
      <c r="A857" s="255" t="s">
        <v>504</v>
      </c>
      <c r="B857" s="47"/>
      <c r="C857" s="48" t="s">
        <v>170</v>
      </c>
      <c r="D857" s="48" t="s">
        <v>168</v>
      </c>
      <c r="E857" s="56" t="s">
        <v>505</v>
      </c>
      <c r="F857" s="56"/>
      <c r="G857" s="62">
        <f>G858</f>
        <v>500</v>
      </c>
      <c r="H857" s="31"/>
      <c r="I857" s="31"/>
      <c r="J857" s="31"/>
      <c r="K857" s="31"/>
      <c r="L857" s="31"/>
      <c r="M857" s="31"/>
      <c r="N857" s="31"/>
      <c r="O857" s="31"/>
      <c r="P857" s="31"/>
      <c r="Q857" s="32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s="13" customFormat="1" ht="15.75" customHeight="1">
      <c r="A858" s="237" t="s">
        <v>226</v>
      </c>
      <c r="B858" s="47"/>
      <c r="C858" s="48" t="s">
        <v>170</v>
      </c>
      <c r="D858" s="48" t="s">
        <v>168</v>
      </c>
      <c r="E858" s="56" t="s">
        <v>505</v>
      </c>
      <c r="F858" s="56" t="s">
        <v>188</v>
      </c>
      <c r="G858" s="62">
        <f>G859</f>
        <v>500</v>
      </c>
      <c r="H858" s="31"/>
      <c r="I858" s="31"/>
      <c r="J858" s="31"/>
      <c r="K858" s="31"/>
      <c r="L858" s="31"/>
      <c r="M858" s="31"/>
      <c r="N858" s="31"/>
      <c r="O858" s="31"/>
      <c r="P858" s="31"/>
      <c r="Q858" s="32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s="13" customFormat="1" ht="15.75">
      <c r="A859" s="237" t="s">
        <v>189</v>
      </c>
      <c r="B859" s="47"/>
      <c r="C859" s="48" t="s">
        <v>170</v>
      </c>
      <c r="D859" s="48" t="s">
        <v>168</v>
      </c>
      <c r="E859" s="56" t="s">
        <v>505</v>
      </c>
      <c r="F859" s="56" t="s">
        <v>187</v>
      </c>
      <c r="G859" s="62">
        <v>500</v>
      </c>
      <c r="H859" s="31"/>
      <c r="I859" s="31"/>
      <c r="J859" s="31"/>
      <c r="K859" s="31"/>
      <c r="L859" s="31"/>
      <c r="M859" s="31"/>
      <c r="N859" s="31"/>
      <c r="O859" s="31"/>
      <c r="P859" s="31"/>
      <c r="Q859" s="32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s="13" customFormat="1" ht="15.75">
      <c r="A860" s="234" t="s">
        <v>144</v>
      </c>
      <c r="B860" s="47"/>
      <c r="C860" s="45" t="s">
        <v>172</v>
      </c>
      <c r="D860" s="299" t="s">
        <v>175</v>
      </c>
      <c r="E860" s="298" t="s">
        <v>175</v>
      </c>
      <c r="F860" s="299" t="s">
        <v>175</v>
      </c>
      <c r="G860" s="58">
        <f>G861+G871+G909+G935</f>
        <v>94019.54000000001</v>
      </c>
      <c r="H860" s="31"/>
      <c r="I860" s="31"/>
      <c r="J860" s="31"/>
      <c r="K860" s="31"/>
      <c r="L860" s="31"/>
      <c r="M860" s="31"/>
      <c r="N860" s="31"/>
      <c r="O860" s="31"/>
      <c r="P860" s="31"/>
      <c r="Q860" s="32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s="13" customFormat="1" ht="30.75" customHeight="1">
      <c r="A861" s="252" t="s">
        <v>208</v>
      </c>
      <c r="B861" s="51"/>
      <c r="C861" s="45" t="s">
        <v>172</v>
      </c>
      <c r="D861" s="45" t="s">
        <v>157</v>
      </c>
      <c r="E861" s="52"/>
      <c r="F861" s="57"/>
      <c r="G861" s="58">
        <f>G862+G867</f>
        <v>4115</v>
      </c>
      <c r="H861" s="31"/>
      <c r="I861" s="31"/>
      <c r="J861" s="31"/>
      <c r="K861" s="31"/>
      <c r="L861" s="31"/>
      <c r="M861" s="31"/>
      <c r="N861" s="31"/>
      <c r="O861" s="31"/>
      <c r="P861" s="31"/>
      <c r="Q861" s="32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s="13" customFormat="1" ht="31.5">
      <c r="A862" s="252" t="s">
        <v>443</v>
      </c>
      <c r="B862" s="54"/>
      <c r="C862" s="45" t="s">
        <v>172</v>
      </c>
      <c r="D862" s="45" t="s">
        <v>157</v>
      </c>
      <c r="E862" s="52" t="s">
        <v>0</v>
      </c>
      <c r="F862" s="57"/>
      <c r="G862" s="58">
        <f>G863</f>
        <v>2115</v>
      </c>
      <c r="H862" s="31"/>
      <c r="I862" s="31"/>
      <c r="J862" s="31"/>
      <c r="K862" s="31"/>
      <c r="L862" s="31"/>
      <c r="M862" s="31"/>
      <c r="N862" s="31"/>
      <c r="O862" s="31"/>
      <c r="P862" s="31"/>
      <c r="Q862" s="32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s="13" customFormat="1" ht="31.5">
      <c r="A863" s="252" t="s">
        <v>591</v>
      </c>
      <c r="B863" s="54"/>
      <c r="C863" s="45" t="s">
        <v>172</v>
      </c>
      <c r="D863" s="45" t="s">
        <v>157</v>
      </c>
      <c r="E863" s="52" t="s">
        <v>1</v>
      </c>
      <c r="F863" s="57"/>
      <c r="G863" s="58">
        <f>G864</f>
        <v>2115</v>
      </c>
      <c r="H863" s="31"/>
      <c r="I863" s="31"/>
      <c r="J863" s="31"/>
      <c r="K863" s="31"/>
      <c r="L863" s="31"/>
      <c r="M863" s="31"/>
      <c r="N863" s="31"/>
      <c r="O863" s="31"/>
      <c r="P863" s="31"/>
      <c r="Q863" s="32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s="13" customFormat="1" ht="15" customHeight="1">
      <c r="A864" s="238" t="s">
        <v>444</v>
      </c>
      <c r="B864" s="55"/>
      <c r="C864" s="48" t="s">
        <v>172</v>
      </c>
      <c r="D864" s="48" t="s">
        <v>157</v>
      </c>
      <c r="E864" s="49" t="s">
        <v>2</v>
      </c>
      <c r="F864" s="56"/>
      <c r="G864" s="62">
        <f>G865</f>
        <v>2115</v>
      </c>
      <c r="H864" s="31"/>
      <c r="I864" s="31"/>
      <c r="J864" s="31"/>
      <c r="K864" s="31"/>
      <c r="L864" s="31"/>
      <c r="M864" s="31"/>
      <c r="N864" s="31"/>
      <c r="O864" s="31"/>
      <c r="P864" s="31"/>
      <c r="Q864" s="32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s="13" customFormat="1" ht="15.75">
      <c r="A865" s="237" t="s">
        <v>226</v>
      </c>
      <c r="B865" s="55"/>
      <c r="C865" s="48" t="s">
        <v>172</v>
      </c>
      <c r="D865" s="48" t="s">
        <v>157</v>
      </c>
      <c r="E865" s="49" t="s">
        <v>2</v>
      </c>
      <c r="F865" s="56" t="s">
        <v>188</v>
      </c>
      <c r="G865" s="62">
        <f>G866</f>
        <v>2115</v>
      </c>
      <c r="H865" s="31"/>
      <c r="I865" s="31"/>
      <c r="J865" s="31"/>
      <c r="K865" s="31"/>
      <c r="L865" s="31"/>
      <c r="M865" s="31"/>
      <c r="N865" s="31"/>
      <c r="O865" s="31"/>
      <c r="P865" s="31"/>
      <c r="Q865" s="32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s="13" customFormat="1" ht="15.75">
      <c r="A866" s="282" t="s">
        <v>189</v>
      </c>
      <c r="B866" s="55"/>
      <c r="C866" s="48" t="s">
        <v>172</v>
      </c>
      <c r="D866" s="48" t="s">
        <v>157</v>
      </c>
      <c r="E866" s="49" t="s">
        <v>2</v>
      </c>
      <c r="F866" s="56" t="s">
        <v>187</v>
      </c>
      <c r="G866" s="62">
        <v>2115</v>
      </c>
      <c r="H866" s="31"/>
      <c r="I866" s="31"/>
      <c r="J866" s="31"/>
      <c r="K866" s="31"/>
      <c r="L866" s="31"/>
      <c r="M866" s="31"/>
      <c r="N866" s="31"/>
      <c r="O866" s="31"/>
      <c r="P866" s="31"/>
      <c r="Q866" s="32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s="13" customFormat="1" ht="31.5">
      <c r="A867" s="252" t="s">
        <v>438</v>
      </c>
      <c r="B867" s="54"/>
      <c r="C867" s="45" t="s">
        <v>172</v>
      </c>
      <c r="D867" s="45" t="s">
        <v>157</v>
      </c>
      <c r="E867" s="52" t="s">
        <v>323</v>
      </c>
      <c r="F867" s="57"/>
      <c r="G867" s="58">
        <f>G868</f>
        <v>2000</v>
      </c>
      <c r="H867" s="31"/>
      <c r="I867" s="31"/>
      <c r="J867" s="31"/>
      <c r="K867" s="31"/>
      <c r="L867" s="31"/>
      <c r="M867" s="31"/>
      <c r="N867" s="31"/>
      <c r="O867" s="31"/>
      <c r="P867" s="31"/>
      <c r="Q867" s="32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17" s="31" customFormat="1" ht="15.75">
      <c r="A868" s="238" t="s">
        <v>232</v>
      </c>
      <c r="B868" s="55"/>
      <c r="C868" s="48" t="s">
        <v>172</v>
      </c>
      <c r="D868" s="48" t="s">
        <v>157</v>
      </c>
      <c r="E868" s="49" t="s">
        <v>622</v>
      </c>
      <c r="F868" s="56"/>
      <c r="G868" s="62">
        <f>G869</f>
        <v>2000</v>
      </c>
      <c r="Q868" s="32"/>
    </row>
    <row r="869" spans="1:17" s="31" customFormat="1" ht="15.75">
      <c r="A869" s="163" t="s">
        <v>227</v>
      </c>
      <c r="B869" s="55"/>
      <c r="C869" s="48" t="s">
        <v>172</v>
      </c>
      <c r="D869" s="48" t="s">
        <v>157</v>
      </c>
      <c r="E869" s="49" t="s">
        <v>622</v>
      </c>
      <c r="F869" s="56" t="s">
        <v>199</v>
      </c>
      <c r="G869" s="62">
        <f>G870</f>
        <v>2000</v>
      </c>
      <c r="Q869" s="32"/>
    </row>
    <row r="870" spans="1:17" s="31" customFormat="1" ht="15.75">
      <c r="A870" s="271" t="s">
        <v>179</v>
      </c>
      <c r="B870" s="55"/>
      <c r="C870" s="48" t="s">
        <v>172</v>
      </c>
      <c r="D870" s="48" t="s">
        <v>157</v>
      </c>
      <c r="E870" s="49" t="s">
        <v>622</v>
      </c>
      <c r="F870" s="56" t="s">
        <v>200</v>
      </c>
      <c r="G870" s="62">
        <v>2000</v>
      </c>
      <c r="Q870" s="32"/>
    </row>
    <row r="871" spans="1:17" s="31" customFormat="1" ht="15.75">
      <c r="A871" s="252" t="s">
        <v>386</v>
      </c>
      <c r="B871" s="51"/>
      <c r="C871" s="45" t="s">
        <v>172</v>
      </c>
      <c r="D871" s="45" t="s">
        <v>171</v>
      </c>
      <c r="E871" s="52"/>
      <c r="F871" s="57"/>
      <c r="G871" s="58">
        <f>G872+G888+G892</f>
        <v>30127.5</v>
      </c>
      <c r="Q871" s="32"/>
    </row>
    <row r="872" spans="1:17" s="31" customFormat="1" ht="15.75">
      <c r="A872" s="242" t="s">
        <v>445</v>
      </c>
      <c r="B872" s="51"/>
      <c r="C872" s="45" t="s">
        <v>172</v>
      </c>
      <c r="D872" s="45" t="s">
        <v>171</v>
      </c>
      <c r="E872" s="52" t="s">
        <v>6</v>
      </c>
      <c r="F872" s="57"/>
      <c r="G872" s="58">
        <f>G879+G885+G873+G882+G876</f>
        <v>18442.6</v>
      </c>
      <c r="Q872" s="32"/>
    </row>
    <row r="873" spans="1:17" s="31" customFormat="1" ht="15.75">
      <c r="A873" s="238" t="s">
        <v>232</v>
      </c>
      <c r="B873" s="47"/>
      <c r="C873" s="48" t="s">
        <v>172</v>
      </c>
      <c r="D873" s="48" t="s">
        <v>171</v>
      </c>
      <c r="E873" s="49" t="s">
        <v>689</v>
      </c>
      <c r="F873" s="56"/>
      <c r="G873" s="62">
        <f>G874</f>
        <v>5557.1</v>
      </c>
      <c r="Q873" s="32"/>
    </row>
    <row r="874" spans="1:17" s="31" customFormat="1" ht="15.75">
      <c r="A874" s="237" t="s">
        <v>226</v>
      </c>
      <c r="B874" s="47"/>
      <c r="C874" s="48" t="s">
        <v>172</v>
      </c>
      <c r="D874" s="48" t="s">
        <v>171</v>
      </c>
      <c r="E874" s="49" t="s">
        <v>689</v>
      </c>
      <c r="F874" s="56" t="s">
        <v>188</v>
      </c>
      <c r="G874" s="62">
        <f>G875</f>
        <v>5557.1</v>
      </c>
      <c r="Q874" s="32"/>
    </row>
    <row r="875" spans="1:17" s="31" customFormat="1" ht="15.75">
      <c r="A875" s="282" t="s">
        <v>189</v>
      </c>
      <c r="B875" s="47"/>
      <c r="C875" s="48" t="s">
        <v>172</v>
      </c>
      <c r="D875" s="48" t="s">
        <v>171</v>
      </c>
      <c r="E875" s="49" t="s">
        <v>689</v>
      </c>
      <c r="F875" s="56" t="s">
        <v>187</v>
      </c>
      <c r="G875" s="102">
        <f>2818.1+2739</f>
        <v>5557.1</v>
      </c>
      <c r="Q875" s="32"/>
    </row>
    <row r="876" spans="1:17" s="31" customFormat="1" ht="31.5">
      <c r="A876" s="238" t="s">
        <v>697</v>
      </c>
      <c r="B876" s="47"/>
      <c r="C876" s="48" t="s">
        <v>172</v>
      </c>
      <c r="D876" s="48" t="s">
        <v>171</v>
      </c>
      <c r="E876" s="49" t="s">
        <v>696</v>
      </c>
      <c r="F876" s="56"/>
      <c r="G876" s="62">
        <f>G877</f>
        <v>54</v>
      </c>
      <c r="Q876" s="32"/>
    </row>
    <row r="877" spans="1:17" s="31" customFormat="1" ht="15.75">
      <c r="A877" s="237" t="s">
        <v>226</v>
      </c>
      <c r="B877" s="47"/>
      <c r="C877" s="48" t="s">
        <v>172</v>
      </c>
      <c r="D877" s="48" t="s">
        <v>171</v>
      </c>
      <c r="E877" s="49" t="s">
        <v>696</v>
      </c>
      <c r="F877" s="56" t="s">
        <v>199</v>
      </c>
      <c r="G877" s="62">
        <f>G878</f>
        <v>54</v>
      </c>
      <c r="Q877" s="32"/>
    </row>
    <row r="878" spans="1:17" s="31" customFormat="1" ht="15.75">
      <c r="A878" s="282" t="s">
        <v>189</v>
      </c>
      <c r="B878" s="47"/>
      <c r="C878" s="48" t="s">
        <v>172</v>
      </c>
      <c r="D878" s="48" t="s">
        <v>171</v>
      </c>
      <c r="E878" s="49" t="s">
        <v>696</v>
      </c>
      <c r="F878" s="56" t="s">
        <v>200</v>
      </c>
      <c r="G878" s="102">
        <v>54</v>
      </c>
      <c r="Q878" s="32"/>
    </row>
    <row r="879" spans="1:17" s="31" customFormat="1" ht="31.5">
      <c r="A879" s="238" t="s">
        <v>499</v>
      </c>
      <c r="B879" s="47"/>
      <c r="C879" s="48" t="s">
        <v>172</v>
      </c>
      <c r="D879" s="48" t="s">
        <v>171</v>
      </c>
      <c r="E879" s="49" t="s">
        <v>498</v>
      </c>
      <c r="F879" s="56"/>
      <c r="G879" s="62">
        <f>G880</f>
        <v>4600</v>
      </c>
      <c r="Q879" s="32"/>
    </row>
    <row r="880" spans="1:17" s="31" customFormat="1" ht="15.75">
      <c r="A880" s="163" t="s">
        <v>227</v>
      </c>
      <c r="B880" s="47"/>
      <c r="C880" s="48" t="s">
        <v>172</v>
      </c>
      <c r="D880" s="48" t="s">
        <v>171</v>
      </c>
      <c r="E880" s="49" t="s">
        <v>498</v>
      </c>
      <c r="F880" s="56" t="s">
        <v>199</v>
      </c>
      <c r="G880" s="62">
        <f>G881</f>
        <v>4600</v>
      </c>
      <c r="Q880" s="32"/>
    </row>
    <row r="881" spans="1:17" s="31" customFormat="1" ht="15.75">
      <c r="A881" s="271" t="s">
        <v>179</v>
      </c>
      <c r="B881" s="47"/>
      <c r="C881" s="48" t="s">
        <v>172</v>
      </c>
      <c r="D881" s="48" t="s">
        <v>171</v>
      </c>
      <c r="E881" s="49" t="s">
        <v>498</v>
      </c>
      <c r="F881" s="56" t="s">
        <v>200</v>
      </c>
      <c r="G881" s="102">
        <f>4100+500</f>
        <v>4600</v>
      </c>
      <c r="Q881" s="32"/>
    </row>
    <row r="882" spans="1:17" s="31" customFormat="1" ht="37.5" customHeight="1">
      <c r="A882" s="238" t="s">
        <v>691</v>
      </c>
      <c r="B882" s="47"/>
      <c r="C882" s="48" t="s">
        <v>172</v>
      </c>
      <c r="D882" s="48" t="s">
        <v>171</v>
      </c>
      <c r="E882" s="49" t="s">
        <v>690</v>
      </c>
      <c r="F882" s="56"/>
      <c r="G882" s="62">
        <f>G883</f>
        <v>4209.5</v>
      </c>
      <c r="Q882" s="32"/>
    </row>
    <row r="883" spans="1:17" s="31" customFormat="1" ht="15.75">
      <c r="A883" s="163" t="s">
        <v>227</v>
      </c>
      <c r="B883" s="47"/>
      <c r="C883" s="48" t="s">
        <v>172</v>
      </c>
      <c r="D883" s="48" t="s">
        <v>171</v>
      </c>
      <c r="E883" s="49" t="s">
        <v>690</v>
      </c>
      <c r="F883" s="56" t="s">
        <v>199</v>
      </c>
      <c r="G883" s="62">
        <f>G884</f>
        <v>4209.5</v>
      </c>
      <c r="Q883" s="32"/>
    </row>
    <row r="884" spans="1:17" s="31" customFormat="1" ht="15.75">
      <c r="A884" s="271" t="s">
        <v>179</v>
      </c>
      <c r="B884" s="47"/>
      <c r="C884" s="48" t="s">
        <v>172</v>
      </c>
      <c r="D884" s="48" t="s">
        <v>171</v>
      </c>
      <c r="E884" s="49" t="s">
        <v>690</v>
      </c>
      <c r="F884" s="56" t="s">
        <v>200</v>
      </c>
      <c r="G884" s="102">
        <f>4132.8+740-663.3</f>
        <v>4209.5</v>
      </c>
      <c r="Q884" s="32"/>
    </row>
    <row r="885" spans="1:26" s="13" customFormat="1" ht="31.5">
      <c r="A885" s="238" t="s">
        <v>497</v>
      </c>
      <c r="B885" s="47"/>
      <c r="C885" s="48" t="s">
        <v>172</v>
      </c>
      <c r="D885" s="48" t="s">
        <v>171</v>
      </c>
      <c r="E885" s="49" t="s">
        <v>496</v>
      </c>
      <c r="F885" s="56"/>
      <c r="G885" s="62">
        <f>G886</f>
        <v>4022</v>
      </c>
      <c r="H885" s="31"/>
      <c r="I885" s="31"/>
      <c r="J885" s="31"/>
      <c r="K885" s="31"/>
      <c r="L885" s="31"/>
      <c r="M885" s="31"/>
      <c r="N885" s="31"/>
      <c r="O885" s="31"/>
      <c r="P885" s="31"/>
      <c r="Q885" s="32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s="13" customFormat="1" ht="15.75">
      <c r="A886" s="237" t="s">
        <v>226</v>
      </c>
      <c r="B886" s="47"/>
      <c r="C886" s="48" t="s">
        <v>172</v>
      </c>
      <c r="D886" s="48" t="s">
        <v>171</v>
      </c>
      <c r="E886" s="49" t="s">
        <v>496</v>
      </c>
      <c r="F886" s="56" t="s">
        <v>188</v>
      </c>
      <c r="G886" s="62">
        <f>G887</f>
        <v>4022</v>
      </c>
      <c r="H886" s="31"/>
      <c r="I886" s="31"/>
      <c r="J886" s="31"/>
      <c r="K886" s="31"/>
      <c r="L886" s="31"/>
      <c r="M886" s="31"/>
      <c r="N886" s="31"/>
      <c r="O886" s="31"/>
      <c r="P886" s="31"/>
      <c r="Q886" s="32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s="13" customFormat="1" ht="15.75">
      <c r="A887" s="282" t="s">
        <v>189</v>
      </c>
      <c r="B887" s="47"/>
      <c r="C887" s="48" t="s">
        <v>172</v>
      </c>
      <c r="D887" s="48" t="s">
        <v>171</v>
      </c>
      <c r="E887" s="49" t="s">
        <v>496</v>
      </c>
      <c r="F887" s="56" t="s">
        <v>187</v>
      </c>
      <c r="G887" s="102">
        <v>4022</v>
      </c>
      <c r="H887" s="31"/>
      <c r="I887" s="31"/>
      <c r="J887" s="31"/>
      <c r="K887" s="31"/>
      <c r="L887" s="31"/>
      <c r="M887" s="31"/>
      <c r="N887" s="31"/>
      <c r="O887" s="31"/>
      <c r="P887" s="31"/>
      <c r="Q887" s="32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s="13" customFormat="1" ht="31.5">
      <c r="A888" s="242" t="s">
        <v>539</v>
      </c>
      <c r="B888" s="51"/>
      <c r="C888" s="45" t="s">
        <v>172</v>
      </c>
      <c r="D888" s="45" t="s">
        <v>171</v>
      </c>
      <c r="E888" s="52" t="s">
        <v>80</v>
      </c>
      <c r="F888" s="57"/>
      <c r="G888" s="58">
        <f>G889</f>
        <v>217.9</v>
      </c>
      <c r="H888" s="31"/>
      <c r="I888" s="31"/>
      <c r="J888" s="31"/>
      <c r="K888" s="31"/>
      <c r="L888" s="31"/>
      <c r="M888" s="31"/>
      <c r="N888" s="31"/>
      <c r="O888" s="31"/>
      <c r="P888" s="31"/>
      <c r="Q888" s="32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s="13" customFormat="1" ht="15.75">
      <c r="A889" s="238" t="s">
        <v>540</v>
      </c>
      <c r="B889" s="47"/>
      <c r="C889" s="48" t="s">
        <v>172</v>
      </c>
      <c r="D889" s="48" t="s">
        <v>171</v>
      </c>
      <c r="E889" s="49" t="s">
        <v>81</v>
      </c>
      <c r="F889" s="56"/>
      <c r="G889" s="62">
        <f>G890</f>
        <v>217.9</v>
      </c>
      <c r="H889" s="31"/>
      <c r="I889" s="31"/>
      <c r="J889" s="31"/>
      <c r="K889" s="31"/>
      <c r="L889" s="31"/>
      <c r="M889" s="31"/>
      <c r="N889" s="31"/>
      <c r="O889" s="31"/>
      <c r="P889" s="31"/>
      <c r="Q889" s="32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s="13" customFormat="1" ht="15.75">
      <c r="A890" s="237" t="s">
        <v>226</v>
      </c>
      <c r="B890" s="47"/>
      <c r="C890" s="48" t="s">
        <v>172</v>
      </c>
      <c r="D890" s="48" t="s">
        <v>171</v>
      </c>
      <c r="E890" s="49" t="s">
        <v>81</v>
      </c>
      <c r="F890" s="56" t="s">
        <v>188</v>
      </c>
      <c r="G890" s="62">
        <f>G891</f>
        <v>217.9</v>
      </c>
      <c r="H890" s="31"/>
      <c r="I890" s="31"/>
      <c r="J890" s="31"/>
      <c r="K890" s="31"/>
      <c r="L890" s="31"/>
      <c r="M890" s="31"/>
      <c r="N890" s="31"/>
      <c r="O890" s="31"/>
      <c r="P890" s="31"/>
      <c r="Q890" s="32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s="13" customFormat="1" ht="15.75">
      <c r="A891" s="282" t="s">
        <v>189</v>
      </c>
      <c r="B891" s="47"/>
      <c r="C891" s="48" t="s">
        <v>172</v>
      </c>
      <c r="D891" s="48" t="s">
        <v>171</v>
      </c>
      <c r="E891" s="49" t="s">
        <v>81</v>
      </c>
      <c r="F891" s="56" t="s">
        <v>187</v>
      </c>
      <c r="G891" s="102">
        <f>166.8+51.1</f>
        <v>217.9</v>
      </c>
      <c r="H891" s="31"/>
      <c r="I891" s="31"/>
      <c r="J891" s="31"/>
      <c r="K891" s="31"/>
      <c r="L891" s="31"/>
      <c r="M891" s="31"/>
      <c r="N891" s="31"/>
      <c r="O891" s="31"/>
      <c r="P891" s="31"/>
      <c r="Q891" s="32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s="13" customFormat="1" ht="15.75">
      <c r="A892" s="276" t="s">
        <v>512</v>
      </c>
      <c r="B892" s="51"/>
      <c r="C892" s="45" t="s">
        <v>172</v>
      </c>
      <c r="D892" s="45" t="s">
        <v>171</v>
      </c>
      <c r="E892" s="52" t="s">
        <v>511</v>
      </c>
      <c r="F892" s="57"/>
      <c r="G892" s="58">
        <f>G893</f>
        <v>11467</v>
      </c>
      <c r="H892" s="31"/>
      <c r="I892" s="31"/>
      <c r="J892" s="31"/>
      <c r="K892" s="31"/>
      <c r="L892" s="31"/>
      <c r="M892" s="31"/>
      <c r="N892" s="31"/>
      <c r="O892" s="31"/>
      <c r="P892" s="31"/>
      <c r="Q892" s="32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s="13" customFormat="1" ht="15.75">
      <c r="A893" s="252" t="s">
        <v>513</v>
      </c>
      <c r="B893" s="51"/>
      <c r="C893" s="45" t="s">
        <v>172</v>
      </c>
      <c r="D893" s="45" t="s">
        <v>171</v>
      </c>
      <c r="E893" s="52" t="s">
        <v>281</v>
      </c>
      <c r="F893" s="56"/>
      <c r="G893" s="62">
        <f>G894+G897+G900+G903+G906</f>
        <v>11467</v>
      </c>
      <c r="H893" s="31"/>
      <c r="I893" s="31"/>
      <c r="J893" s="31"/>
      <c r="K893" s="31"/>
      <c r="L893" s="31"/>
      <c r="M893" s="31"/>
      <c r="N893" s="31"/>
      <c r="O893" s="31"/>
      <c r="P893" s="31"/>
      <c r="Q893" s="32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s="13" customFormat="1" ht="31.5">
      <c r="A894" s="238" t="s">
        <v>651</v>
      </c>
      <c r="B894" s="51"/>
      <c r="C894" s="48" t="s">
        <v>172</v>
      </c>
      <c r="D894" s="48" t="s">
        <v>171</v>
      </c>
      <c r="E894" s="49" t="s">
        <v>650</v>
      </c>
      <c r="F894" s="56"/>
      <c r="G894" s="62">
        <f>G895</f>
        <v>2503.8</v>
      </c>
      <c r="H894" s="31"/>
      <c r="I894" s="31"/>
      <c r="J894" s="31"/>
      <c r="K894" s="31"/>
      <c r="L894" s="31"/>
      <c r="M894" s="31"/>
      <c r="N894" s="31"/>
      <c r="O894" s="31"/>
      <c r="P894" s="31"/>
      <c r="Q894" s="32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s="13" customFormat="1" ht="15.75">
      <c r="A895" s="163" t="s">
        <v>227</v>
      </c>
      <c r="B895" s="47"/>
      <c r="C895" s="48" t="s">
        <v>172</v>
      </c>
      <c r="D895" s="48" t="s">
        <v>171</v>
      </c>
      <c r="E895" s="49" t="s">
        <v>650</v>
      </c>
      <c r="F895" s="56" t="s">
        <v>199</v>
      </c>
      <c r="G895" s="62">
        <f>G896</f>
        <v>2503.8</v>
      </c>
      <c r="H895" s="31"/>
      <c r="I895" s="31"/>
      <c r="J895" s="31"/>
      <c r="K895" s="31"/>
      <c r="L895" s="31"/>
      <c r="M895" s="31"/>
      <c r="N895" s="31"/>
      <c r="O895" s="31"/>
      <c r="P895" s="31"/>
      <c r="Q895" s="32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s="13" customFormat="1" ht="15.75">
      <c r="A896" s="271" t="s">
        <v>179</v>
      </c>
      <c r="B896" s="55"/>
      <c r="C896" s="48" t="s">
        <v>172</v>
      </c>
      <c r="D896" s="48" t="s">
        <v>171</v>
      </c>
      <c r="E896" s="49" t="s">
        <v>650</v>
      </c>
      <c r="F896" s="56" t="s">
        <v>200</v>
      </c>
      <c r="G896" s="62">
        <v>2503.8</v>
      </c>
      <c r="H896" s="31"/>
      <c r="I896" s="31"/>
      <c r="J896" s="31"/>
      <c r="K896" s="31"/>
      <c r="L896" s="31"/>
      <c r="M896" s="31"/>
      <c r="N896" s="31"/>
      <c r="O896" s="31"/>
      <c r="P896" s="31"/>
      <c r="Q896" s="32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s="13" customFormat="1" ht="31.5">
      <c r="A897" s="238" t="s">
        <v>659</v>
      </c>
      <c r="B897" s="51"/>
      <c r="C897" s="48" t="s">
        <v>172</v>
      </c>
      <c r="D897" s="48" t="s">
        <v>171</v>
      </c>
      <c r="E897" s="49" t="s">
        <v>658</v>
      </c>
      <c r="F897" s="56"/>
      <c r="G897" s="62">
        <f>G898</f>
        <v>2997.1</v>
      </c>
      <c r="H897" s="31"/>
      <c r="I897" s="31"/>
      <c r="J897" s="31"/>
      <c r="K897" s="31"/>
      <c r="L897" s="31"/>
      <c r="M897" s="31"/>
      <c r="N897" s="31"/>
      <c r="O897" s="31"/>
      <c r="P897" s="31"/>
      <c r="Q897" s="32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s="13" customFormat="1" ht="15.75">
      <c r="A898" s="163" t="s">
        <v>227</v>
      </c>
      <c r="B898" s="47"/>
      <c r="C898" s="48" t="s">
        <v>172</v>
      </c>
      <c r="D898" s="48" t="s">
        <v>171</v>
      </c>
      <c r="E898" s="49" t="s">
        <v>658</v>
      </c>
      <c r="F898" s="56" t="s">
        <v>199</v>
      </c>
      <c r="G898" s="62">
        <f>G899</f>
        <v>2997.1</v>
      </c>
      <c r="H898" s="31"/>
      <c r="I898" s="31"/>
      <c r="J898" s="31"/>
      <c r="K898" s="31"/>
      <c r="L898" s="31"/>
      <c r="M898" s="31"/>
      <c r="N898" s="31"/>
      <c r="O898" s="31"/>
      <c r="P898" s="31"/>
      <c r="Q898" s="32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s="13" customFormat="1" ht="15.75">
      <c r="A899" s="271" t="s">
        <v>179</v>
      </c>
      <c r="B899" s="55"/>
      <c r="C899" s="48" t="s">
        <v>172</v>
      </c>
      <c r="D899" s="48" t="s">
        <v>171</v>
      </c>
      <c r="E899" s="49" t="s">
        <v>658</v>
      </c>
      <c r="F899" s="56" t="s">
        <v>200</v>
      </c>
      <c r="G899" s="62">
        <v>2997.1</v>
      </c>
      <c r="H899" s="31"/>
      <c r="I899" s="31"/>
      <c r="J899" s="31"/>
      <c r="K899" s="31"/>
      <c r="L899" s="31"/>
      <c r="M899" s="31"/>
      <c r="N899" s="31"/>
      <c r="O899" s="31"/>
      <c r="P899" s="31"/>
      <c r="Q899" s="32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s="13" customFormat="1" ht="31.5">
      <c r="A900" s="238" t="s">
        <v>653</v>
      </c>
      <c r="B900" s="51"/>
      <c r="C900" s="48" t="s">
        <v>172</v>
      </c>
      <c r="D900" s="48" t="s">
        <v>171</v>
      </c>
      <c r="E900" s="49" t="s">
        <v>652</v>
      </c>
      <c r="F900" s="56"/>
      <c r="G900" s="62">
        <f>G901</f>
        <v>1998.3</v>
      </c>
      <c r="H900" s="31"/>
      <c r="I900" s="31"/>
      <c r="J900" s="31"/>
      <c r="K900" s="31"/>
      <c r="L900" s="31"/>
      <c r="M900" s="31"/>
      <c r="N900" s="31"/>
      <c r="O900" s="31"/>
      <c r="P900" s="31"/>
      <c r="Q900" s="32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s="13" customFormat="1" ht="15.75">
      <c r="A901" s="163" t="s">
        <v>227</v>
      </c>
      <c r="B901" s="47"/>
      <c r="C901" s="48" t="s">
        <v>172</v>
      </c>
      <c r="D901" s="48" t="s">
        <v>171</v>
      </c>
      <c r="E901" s="49" t="s">
        <v>652</v>
      </c>
      <c r="F901" s="56" t="s">
        <v>199</v>
      </c>
      <c r="G901" s="62">
        <f>G902</f>
        <v>1998.3</v>
      </c>
      <c r="H901" s="31"/>
      <c r="I901" s="31"/>
      <c r="J901" s="31"/>
      <c r="K901" s="31"/>
      <c r="L901" s="31"/>
      <c r="M901" s="31"/>
      <c r="N901" s="31"/>
      <c r="O901" s="31"/>
      <c r="P901" s="31"/>
      <c r="Q901" s="32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s="13" customFormat="1" ht="15.75">
      <c r="A902" s="271" t="s">
        <v>179</v>
      </c>
      <c r="B902" s="55"/>
      <c r="C902" s="48" t="s">
        <v>172</v>
      </c>
      <c r="D902" s="48" t="s">
        <v>171</v>
      </c>
      <c r="E902" s="49" t="s">
        <v>652</v>
      </c>
      <c r="F902" s="56" t="s">
        <v>200</v>
      </c>
      <c r="G902" s="62">
        <v>1998.3</v>
      </c>
      <c r="H902" s="31"/>
      <c r="I902" s="31"/>
      <c r="J902" s="31"/>
      <c r="K902" s="31"/>
      <c r="L902" s="31"/>
      <c r="M902" s="31"/>
      <c r="N902" s="31"/>
      <c r="O902" s="31"/>
      <c r="P902" s="31"/>
      <c r="Q902" s="32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s="13" customFormat="1" ht="31.5">
      <c r="A903" s="238" t="s">
        <v>655</v>
      </c>
      <c r="B903" s="51"/>
      <c r="C903" s="48" t="s">
        <v>172</v>
      </c>
      <c r="D903" s="48" t="s">
        <v>171</v>
      </c>
      <c r="E903" s="49" t="s">
        <v>654</v>
      </c>
      <c r="F903" s="56"/>
      <c r="G903" s="62">
        <f>G904</f>
        <v>970.7</v>
      </c>
      <c r="H903" s="31"/>
      <c r="I903" s="31"/>
      <c r="J903" s="31"/>
      <c r="K903" s="31"/>
      <c r="L903" s="31"/>
      <c r="M903" s="31"/>
      <c r="N903" s="31"/>
      <c r="O903" s="31"/>
      <c r="P903" s="31"/>
      <c r="Q903" s="32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s="13" customFormat="1" ht="15.75">
      <c r="A904" s="163" t="s">
        <v>227</v>
      </c>
      <c r="B904" s="47"/>
      <c r="C904" s="48" t="s">
        <v>172</v>
      </c>
      <c r="D904" s="48" t="s">
        <v>171</v>
      </c>
      <c r="E904" s="49" t="s">
        <v>654</v>
      </c>
      <c r="F904" s="56" t="s">
        <v>199</v>
      </c>
      <c r="G904" s="62">
        <f>G905</f>
        <v>970.7</v>
      </c>
      <c r="H904" s="31"/>
      <c r="I904" s="31"/>
      <c r="J904" s="31"/>
      <c r="K904" s="31"/>
      <c r="L904" s="31"/>
      <c r="M904" s="31"/>
      <c r="N904" s="31"/>
      <c r="O904" s="31"/>
      <c r="P904" s="31"/>
      <c r="Q904" s="32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s="13" customFormat="1" ht="15.75">
      <c r="A905" s="271" t="s">
        <v>179</v>
      </c>
      <c r="B905" s="55"/>
      <c r="C905" s="48" t="s">
        <v>172</v>
      </c>
      <c r="D905" s="48" t="s">
        <v>171</v>
      </c>
      <c r="E905" s="49" t="s">
        <v>654</v>
      </c>
      <c r="F905" s="56" t="s">
        <v>200</v>
      </c>
      <c r="G905" s="62">
        <v>970.7</v>
      </c>
      <c r="H905" s="31"/>
      <c r="I905" s="31"/>
      <c r="J905" s="31"/>
      <c r="K905" s="31"/>
      <c r="L905" s="31"/>
      <c r="M905" s="31"/>
      <c r="N905" s="31"/>
      <c r="O905" s="31"/>
      <c r="P905" s="31"/>
      <c r="Q905" s="32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s="13" customFormat="1" ht="31.5">
      <c r="A906" s="238" t="s">
        <v>657</v>
      </c>
      <c r="B906" s="51"/>
      <c r="C906" s="48" t="s">
        <v>172</v>
      </c>
      <c r="D906" s="48" t="s">
        <v>171</v>
      </c>
      <c r="E906" s="49" t="s">
        <v>656</v>
      </c>
      <c r="F906" s="56"/>
      <c r="G906" s="62">
        <f>G907</f>
        <v>2997.1</v>
      </c>
      <c r="H906" s="31"/>
      <c r="I906" s="31"/>
      <c r="J906" s="31"/>
      <c r="K906" s="31"/>
      <c r="L906" s="31"/>
      <c r="M906" s="31"/>
      <c r="N906" s="31"/>
      <c r="O906" s="31"/>
      <c r="P906" s="31"/>
      <c r="Q906" s="32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s="13" customFormat="1" ht="15.75">
      <c r="A907" s="163" t="s">
        <v>227</v>
      </c>
      <c r="B907" s="47"/>
      <c r="C907" s="48" t="s">
        <v>172</v>
      </c>
      <c r="D907" s="48" t="s">
        <v>171</v>
      </c>
      <c r="E907" s="49" t="s">
        <v>656</v>
      </c>
      <c r="F907" s="56" t="s">
        <v>199</v>
      </c>
      <c r="G907" s="62">
        <f>G908</f>
        <v>2997.1</v>
      </c>
      <c r="H907" s="31"/>
      <c r="I907" s="31"/>
      <c r="J907" s="31"/>
      <c r="K907" s="31"/>
      <c r="L907" s="31"/>
      <c r="M907" s="31"/>
      <c r="N907" s="31"/>
      <c r="O907" s="31"/>
      <c r="P907" s="31"/>
      <c r="Q907" s="32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s="13" customFormat="1" ht="15.75">
      <c r="A908" s="271" t="s">
        <v>179</v>
      </c>
      <c r="B908" s="55"/>
      <c r="C908" s="48" t="s">
        <v>172</v>
      </c>
      <c r="D908" s="48" t="s">
        <v>171</v>
      </c>
      <c r="E908" s="49" t="s">
        <v>656</v>
      </c>
      <c r="F908" s="56" t="s">
        <v>200</v>
      </c>
      <c r="G908" s="62">
        <v>2997.1</v>
      </c>
      <c r="H908" s="31"/>
      <c r="I908" s="31"/>
      <c r="J908" s="31"/>
      <c r="K908" s="31"/>
      <c r="L908" s="31"/>
      <c r="M908" s="31"/>
      <c r="N908" s="31"/>
      <c r="O908" s="31"/>
      <c r="P908" s="31"/>
      <c r="Q908" s="32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s="13" customFormat="1" ht="15.75">
      <c r="A909" s="286" t="s">
        <v>8</v>
      </c>
      <c r="B909" s="105"/>
      <c r="C909" s="103" t="s">
        <v>172</v>
      </c>
      <c r="D909" s="103" t="s">
        <v>158</v>
      </c>
      <c r="E909" s="106"/>
      <c r="F909" s="107"/>
      <c r="G909" s="104">
        <f>G910+G923</f>
        <v>57477.04</v>
      </c>
      <c r="H909" s="31"/>
      <c r="I909" s="31"/>
      <c r="J909" s="31"/>
      <c r="K909" s="31"/>
      <c r="L909" s="31"/>
      <c r="M909" s="31"/>
      <c r="N909" s="31"/>
      <c r="O909" s="31"/>
      <c r="P909" s="31"/>
      <c r="Q909" s="32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s="13" customFormat="1" ht="31.5">
      <c r="A910" s="234" t="s">
        <v>452</v>
      </c>
      <c r="B910" s="51"/>
      <c r="C910" s="45" t="s">
        <v>172</v>
      </c>
      <c r="D910" s="45" t="s">
        <v>158</v>
      </c>
      <c r="E910" s="52" t="s">
        <v>328</v>
      </c>
      <c r="F910" s="57"/>
      <c r="G910" s="58">
        <f>G911+G914+G917+G920</f>
        <v>30686.04</v>
      </c>
      <c r="H910" s="31"/>
      <c r="I910" s="31"/>
      <c r="J910" s="31"/>
      <c r="K910" s="31"/>
      <c r="L910" s="31"/>
      <c r="M910" s="31"/>
      <c r="N910" s="31"/>
      <c r="O910" s="31"/>
      <c r="P910" s="31"/>
      <c r="Q910" s="32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s="13" customFormat="1" ht="15.75">
      <c r="A911" s="240" t="s">
        <v>7</v>
      </c>
      <c r="B911" s="47"/>
      <c r="C911" s="48" t="s">
        <v>172</v>
      </c>
      <c r="D911" s="48" t="s">
        <v>158</v>
      </c>
      <c r="E911" s="49" t="s">
        <v>458</v>
      </c>
      <c r="F911" s="56"/>
      <c r="G911" s="62">
        <f>G912</f>
        <v>798.4</v>
      </c>
      <c r="H911" s="31"/>
      <c r="I911" s="31"/>
      <c r="J911" s="31"/>
      <c r="K911" s="31"/>
      <c r="L911" s="31"/>
      <c r="M911" s="31"/>
      <c r="N911" s="31"/>
      <c r="O911" s="31"/>
      <c r="P911" s="31"/>
      <c r="Q911" s="32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s="13" customFormat="1" ht="15.75">
      <c r="A912" s="237" t="s">
        <v>226</v>
      </c>
      <c r="B912" s="51"/>
      <c r="C912" s="48" t="s">
        <v>172</v>
      </c>
      <c r="D912" s="48" t="s">
        <v>158</v>
      </c>
      <c r="E912" s="49" t="s">
        <v>458</v>
      </c>
      <c r="F912" s="56" t="s">
        <v>188</v>
      </c>
      <c r="G912" s="62">
        <f>G913</f>
        <v>798.4</v>
      </c>
      <c r="H912" s="31"/>
      <c r="I912" s="31"/>
      <c r="J912" s="31"/>
      <c r="K912" s="31"/>
      <c r="L912" s="31"/>
      <c r="M912" s="31"/>
      <c r="N912" s="31"/>
      <c r="O912" s="31"/>
      <c r="P912" s="31"/>
      <c r="Q912" s="32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s="13" customFormat="1" ht="15.75">
      <c r="A913" s="237" t="s">
        <v>189</v>
      </c>
      <c r="B913" s="51"/>
      <c r="C913" s="48" t="s">
        <v>172</v>
      </c>
      <c r="D913" s="48" t="s">
        <v>158</v>
      </c>
      <c r="E913" s="49" t="s">
        <v>458</v>
      </c>
      <c r="F913" s="56" t="s">
        <v>187</v>
      </c>
      <c r="G913" s="62">
        <f>570+228.4</f>
        <v>798.4</v>
      </c>
      <c r="H913" s="31"/>
      <c r="I913" s="31"/>
      <c r="J913" s="31"/>
      <c r="K913" s="31"/>
      <c r="L913" s="31"/>
      <c r="M913" s="31"/>
      <c r="N913" s="31"/>
      <c r="O913" s="31"/>
      <c r="P913" s="31"/>
      <c r="Q913" s="32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s="13" customFormat="1" ht="31.5">
      <c r="A914" s="240" t="s">
        <v>454</v>
      </c>
      <c r="B914" s="47"/>
      <c r="C914" s="48" t="s">
        <v>172</v>
      </c>
      <c r="D914" s="48" t="s">
        <v>158</v>
      </c>
      <c r="E914" s="49" t="s">
        <v>330</v>
      </c>
      <c r="F914" s="56"/>
      <c r="G914" s="62">
        <f>G915</f>
        <v>2500</v>
      </c>
      <c r="H914" s="31"/>
      <c r="I914" s="31"/>
      <c r="J914" s="31"/>
      <c r="K914" s="31"/>
      <c r="L914" s="31"/>
      <c r="M914" s="31"/>
      <c r="N914" s="31"/>
      <c r="O914" s="31"/>
      <c r="P914" s="31"/>
      <c r="Q914" s="32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s="13" customFormat="1" ht="15.75">
      <c r="A915" s="237" t="s">
        <v>226</v>
      </c>
      <c r="B915" s="51"/>
      <c r="C915" s="48" t="s">
        <v>172</v>
      </c>
      <c r="D915" s="48" t="s">
        <v>158</v>
      </c>
      <c r="E915" s="49" t="s">
        <v>330</v>
      </c>
      <c r="F915" s="56" t="s">
        <v>188</v>
      </c>
      <c r="G915" s="62">
        <f>G916</f>
        <v>2500</v>
      </c>
      <c r="H915" s="31"/>
      <c r="I915" s="31"/>
      <c r="J915" s="31"/>
      <c r="K915" s="31"/>
      <c r="L915" s="31"/>
      <c r="M915" s="31"/>
      <c r="N915" s="31"/>
      <c r="O915" s="31"/>
      <c r="P915" s="31"/>
      <c r="Q915" s="32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s="13" customFormat="1" ht="15.75">
      <c r="A916" s="237" t="s">
        <v>189</v>
      </c>
      <c r="B916" s="51"/>
      <c r="C916" s="48" t="s">
        <v>172</v>
      </c>
      <c r="D916" s="48" t="s">
        <v>158</v>
      </c>
      <c r="E916" s="49" t="s">
        <v>330</v>
      </c>
      <c r="F916" s="56" t="s">
        <v>187</v>
      </c>
      <c r="G916" s="62">
        <v>2500</v>
      </c>
      <c r="H916" s="31"/>
      <c r="I916" s="31"/>
      <c r="J916" s="31"/>
      <c r="K916" s="31"/>
      <c r="L916" s="31"/>
      <c r="M916" s="31"/>
      <c r="N916" s="31"/>
      <c r="O916" s="31"/>
      <c r="P916" s="31"/>
      <c r="Q916" s="32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s="13" customFormat="1" ht="15.75">
      <c r="A917" s="240" t="s">
        <v>455</v>
      </c>
      <c r="B917" s="47"/>
      <c r="C917" s="48" t="s">
        <v>172</v>
      </c>
      <c r="D917" s="48" t="s">
        <v>158</v>
      </c>
      <c r="E917" s="49" t="s">
        <v>453</v>
      </c>
      <c r="F917" s="56"/>
      <c r="G917" s="62">
        <f>G918</f>
        <v>26987.64</v>
      </c>
      <c r="H917" s="31"/>
      <c r="I917" s="31"/>
      <c r="J917" s="31"/>
      <c r="K917" s="31"/>
      <c r="L917" s="31"/>
      <c r="M917" s="31"/>
      <c r="N917" s="31"/>
      <c r="O917" s="31"/>
      <c r="P917" s="31"/>
      <c r="Q917" s="32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s="13" customFormat="1" ht="15.75">
      <c r="A918" s="237" t="s">
        <v>226</v>
      </c>
      <c r="B918" s="51"/>
      <c r="C918" s="48" t="s">
        <v>172</v>
      </c>
      <c r="D918" s="48" t="s">
        <v>158</v>
      </c>
      <c r="E918" s="49" t="s">
        <v>453</v>
      </c>
      <c r="F918" s="56" t="s">
        <v>188</v>
      </c>
      <c r="G918" s="62">
        <f>G919</f>
        <v>26987.64</v>
      </c>
      <c r="H918" s="31"/>
      <c r="I918" s="31"/>
      <c r="J918" s="31"/>
      <c r="K918" s="31"/>
      <c r="L918" s="31"/>
      <c r="M918" s="31"/>
      <c r="N918" s="31"/>
      <c r="O918" s="31"/>
      <c r="P918" s="31"/>
      <c r="Q918" s="32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s="13" customFormat="1" ht="15.75">
      <c r="A919" s="237" t="s">
        <v>189</v>
      </c>
      <c r="B919" s="51"/>
      <c r="C919" s="48" t="s">
        <v>172</v>
      </c>
      <c r="D919" s="48" t="s">
        <v>158</v>
      </c>
      <c r="E919" s="49" t="s">
        <v>453</v>
      </c>
      <c r="F919" s="56" t="s">
        <v>187</v>
      </c>
      <c r="G919" s="62">
        <f>6898.4-2000+22089.24</f>
        <v>26987.64</v>
      </c>
      <c r="H919" s="31"/>
      <c r="I919" s="31"/>
      <c r="J919" s="31"/>
      <c r="K919" s="31"/>
      <c r="L919" s="31"/>
      <c r="M919" s="31"/>
      <c r="N919" s="31"/>
      <c r="O919" s="31"/>
      <c r="P919" s="31"/>
      <c r="Q919" s="32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s="13" customFormat="1" ht="31.5">
      <c r="A920" s="240" t="s">
        <v>456</v>
      </c>
      <c r="B920" s="47"/>
      <c r="C920" s="48" t="s">
        <v>172</v>
      </c>
      <c r="D920" s="48" t="s">
        <v>158</v>
      </c>
      <c r="E920" s="49" t="s">
        <v>457</v>
      </c>
      <c r="F920" s="56"/>
      <c r="G920" s="62">
        <f>G921</f>
        <v>400</v>
      </c>
      <c r="H920" s="31"/>
      <c r="I920" s="31"/>
      <c r="J920" s="31"/>
      <c r="K920" s="31"/>
      <c r="L920" s="31"/>
      <c r="M920" s="31"/>
      <c r="N920" s="31"/>
      <c r="O920" s="31"/>
      <c r="P920" s="31"/>
      <c r="Q920" s="32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s="13" customFormat="1" ht="15.75">
      <c r="A921" s="237" t="s">
        <v>226</v>
      </c>
      <c r="B921" s="51"/>
      <c r="C921" s="48" t="s">
        <v>172</v>
      </c>
      <c r="D921" s="48" t="s">
        <v>158</v>
      </c>
      <c r="E921" s="49" t="s">
        <v>457</v>
      </c>
      <c r="F921" s="56" t="s">
        <v>188</v>
      </c>
      <c r="G921" s="62">
        <f>G922</f>
        <v>400</v>
      </c>
      <c r="H921" s="31"/>
      <c r="I921" s="31"/>
      <c r="J921" s="31"/>
      <c r="K921" s="31"/>
      <c r="L921" s="31"/>
      <c r="M921" s="31"/>
      <c r="N921" s="31"/>
      <c r="O921" s="31"/>
      <c r="P921" s="31"/>
      <c r="Q921" s="32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s="13" customFormat="1" ht="15.75">
      <c r="A922" s="237" t="s">
        <v>189</v>
      </c>
      <c r="B922" s="51"/>
      <c r="C922" s="48" t="s">
        <v>172</v>
      </c>
      <c r="D922" s="48" t="s">
        <v>158</v>
      </c>
      <c r="E922" s="49" t="s">
        <v>457</v>
      </c>
      <c r="F922" s="56" t="s">
        <v>187</v>
      </c>
      <c r="G922" s="62">
        <v>400</v>
      </c>
      <c r="H922" s="31"/>
      <c r="I922" s="31"/>
      <c r="J922" s="31"/>
      <c r="K922" s="31"/>
      <c r="L922" s="31"/>
      <c r="M922" s="31"/>
      <c r="N922" s="31"/>
      <c r="O922" s="31"/>
      <c r="P922" s="31"/>
      <c r="Q922" s="32"/>
      <c r="R922" s="348"/>
      <c r="S922" s="31"/>
      <c r="T922" s="31"/>
      <c r="U922" s="31"/>
      <c r="V922" s="31"/>
      <c r="W922" s="31"/>
      <c r="X922" s="31"/>
      <c r="Y922" s="31"/>
      <c r="Z922" s="31"/>
    </row>
    <row r="923" spans="1:26" s="13" customFormat="1" ht="15.75">
      <c r="A923" s="239" t="s">
        <v>446</v>
      </c>
      <c r="B923" s="51"/>
      <c r="C923" s="45" t="s">
        <v>172</v>
      </c>
      <c r="D923" s="45" t="s">
        <v>158</v>
      </c>
      <c r="E923" s="52" t="s">
        <v>17</v>
      </c>
      <c r="F923" s="57"/>
      <c r="G923" s="58">
        <f>G924+G927+G932</f>
        <v>26791</v>
      </c>
      <c r="H923" s="31"/>
      <c r="I923" s="31"/>
      <c r="J923" s="31"/>
      <c r="K923" s="31"/>
      <c r="L923" s="31"/>
      <c r="M923" s="31"/>
      <c r="N923" s="31"/>
      <c r="O923" s="31"/>
      <c r="P923" s="31"/>
      <c r="Q923" s="32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s="13" customFormat="1" ht="15.75">
      <c r="A924" s="238" t="s">
        <v>106</v>
      </c>
      <c r="B924" s="51"/>
      <c r="C924" s="48" t="s">
        <v>172</v>
      </c>
      <c r="D924" s="48" t="s">
        <v>158</v>
      </c>
      <c r="E924" s="49" t="s">
        <v>459</v>
      </c>
      <c r="F924" s="56"/>
      <c r="G924" s="62">
        <f>G925</f>
        <v>7199.5</v>
      </c>
      <c r="H924" s="31"/>
      <c r="I924" s="31"/>
      <c r="J924" s="31"/>
      <c r="K924" s="31"/>
      <c r="L924" s="31"/>
      <c r="M924" s="31"/>
      <c r="N924" s="31"/>
      <c r="O924" s="31"/>
      <c r="P924" s="31"/>
      <c r="Q924" s="32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s="13" customFormat="1" ht="31.5">
      <c r="A925" s="237" t="s">
        <v>263</v>
      </c>
      <c r="B925" s="51"/>
      <c r="C925" s="48" t="s">
        <v>172</v>
      </c>
      <c r="D925" s="48" t="s">
        <v>158</v>
      </c>
      <c r="E925" s="49" t="s">
        <v>459</v>
      </c>
      <c r="F925" s="56" t="s">
        <v>178</v>
      </c>
      <c r="G925" s="62">
        <f>G926</f>
        <v>7199.5</v>
      </c>
      <c r="H925" s="31"/>
      <c r="I925" s="31"/>
      <c r="J925" s="31"/>
      <c r="K925" s="31"/>
      <c r="L925" s="31"/>
      <c r="M925" s="31"/>
      <c r="N925" s="31"/>
      <c r="O925" s="31"/>
      <c r="P925" s="31"/>
      <c r="Q925" s="32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s="13" customFormat="1" ht="15.75">
      <c r="A926" s="237" t="s">
        <v>197</v>
      </c>
      <c r="B926" s="51"/>
      <c r="C926" s="48" t="s">
        <v>172</v>
      </c>
      <c r="D926" s="48" t="s">
        <v>158</v>
      </c>
      <c r="E926" s="49" t="s">
        <v>459</v>
      </c>
      <c r="F926" s="56" t="s">
        <v>196</v>
      </c>
      <c r="G926" s="62">
        <v>7199.5</v>
      </c>
      <c r="H926" s="31"/>
      <c r="I926" s="31"/>
      <c r="J926" s="31"/>
      <c r="K926" s="31"/>
      <c r="L926" s="31"/>
      <c r="M926" s="31"/>
      <c r="N926" s="31"/>
      <c r="O926" s="31"/>
      <c r="P926" s="31"/>
      <c r="Q926" s="32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7" ht="15.75">
      <c r="A927" s="238" t="s">
        <v>7</v>
      </c>
      <c r="B927" s="51"/>
      <c r="C927" s="48" t="s">
        <v>172</v>
      </c>
      <c r="D927" s="48" t="s">
        <v>158</v>
      </c>
      <c r="E927" s="49" t="s">
        <v>361</v>
      </c>
      <c r="F927" s="56"/>
      <c r="G927" s="62">
        <f>G928+G930</f>
        <v>4461.5</v>
      </c>
    </row>
    <row r="928" spans="1:7" ht="15.75">
      <c r="A928" s="237" t="s">
        <v>226</v>
      </c>
      <c r="B928" s="51"/>
      <c r="C928" s="48" t="s">
        <v>172</v>
      </c>
      <c r="D928" s="48" t="s">
        <v>158</v>
      </c>
      <c r="E928" s="49" t="s">
        <v>361</v>
      </c>
      <c r="F928" s="56" t="s">
        <v>188</v>
      </c>
      <c r="G928" s="62">
        <f>G929</f>
        <v>1138.7</v>
      </c>
    </row>
    <row r="929" spans="1:7" ht="15.75">
      <c r="A929" s="237" t="s">
        <v>189</v>
      </c>
      <c r="B929" s="51"/>
      <c r="C929" s="48" t="s">
        <v>172</v>
      </c>
      <c r="D929" s="48" t="s">
        <v>158</v>
      </c>
      <c r="E929" s="49" t="s">
        <v>361</v>
      </c>
      <c r="F929" s="56" t="s">
        <v>187</v>
      </c>
      <c r="G929" s="62">
        <v>1138.7</v>
      </c>
    </row>
    <row r="930" spans="1:7" ht="31.5">
      <c r="A930" s="237" t="s">
        <v>263</v>
      </c>
      <c r="B930" s="51"/>
      <c r="C930" s="48" t="s">
        <v>172</v>
      </c>
      <c r="D930" s="48" t="s">
        <v>158</v>
      </c>
      <c r="E930" s="49" t="s">
        <v>361</v>
      </c>
      <c r="F930" s="56" t="s">
        <v>178</v>
      </c>
      <c r="G930" s="62">
        <f>G931</f>
        <v>3322.8</v>
      </c>
    </row>
    <row r="931" spans="1:7" ht="15.75">
      <c r="A931" s="237" t="s">
        <v>197</v>
      </c>
      <c r="B931" s="51"/>
      <c r="C931" s="48" t="s">
        <v>172</v>
      </c>
      <c r="D931" s="48" t="s">
        <v>158</v>
      </c>
      <c r="E931" s="49" t="s">
        <v>361</v>
      </c>
      <c r="F931" s="56" t="s">
        <v>196</v>
      </c>
      <c r="G931" s="62">
        <v>3322.8</v>
      </c>
    </row>
    <row r="932" spans="1:7" ht="15.75">
      <c r="A932" s="238" t="s">
        <v>593</v>
      </c>
      <c r="B932" s="51"/>
      <c r="C932" s="48" t="s">
        <v>172</v>
      </c>
      <c r="D932" s="48" t="s">
        <v>158</v>
      </c>
      <c r="E932" s="49" t="s">
        <v>592</v>
      </c>
      <c r="F932" s="56"/>
      <c r="G932" s="62">
        <f>G933</f>
        <v>15130</v>
      </c>
    </row>
    <row r="933" spans="1:7" ht="15.75">
      <c r="A933" s="237" t="s">
        <v>226</v>
      </c>
      <c r="B933" s="51"/>
      <c r="C933" s="48" t="s">
        <v>172</v>
      </c>
      <c r="D933" s="48" t="s">
        <v>158</v>
      </c>
      <c r="E933" s="49" t="s">
        <v>592</v>
      </c>
      <c r="F933" s="56" t="s">
        <v>188</v>
      </c>
      <c r="G933" s="62">
        <f>G934</f>
        <v>15130</v>
      </c>
    </row>
    <row r="934" spans="1:7" ht="15.75">
      <c r="A934" s="237" t="s">
        <v>189</v>
      </c>
      <c r="B934" s="51"/>
      <c r="C934" s="48" t="s">
        <v>172</v>
      </c>
      <c r="D934" s="48" t="s">
        <v>158</v>
      </c>
      <c r="E934" s="49" t="s">
        <v>592</v>
      </c>
      <c r="F934" s="56" t="s">
        <v>187</v>
      </c>
      <c r="G934" s="62">
        <f>13282+1618+230</f>
        <v>15130</v>
      </c>
    </row>
    <row r="935" spans="1:7" ht="15.75">
      <c r="A935" s="239" t="s">
        <v>711</v>
      </c>
      <c r="B935" s="51"/>
      <c r="C935" s="45" t="s">
        <v>172</v>
      </c>
      <c r="D935" s="45" t="s">
        <v>172</v>
      </c>
      <c r="E935" s="49"/>
      <c r="F935" s="56"/>
      <c r="G935" s="58">
        <f>G936</f>
        <v>2300</v>
      </c>
    </row>
    <row r="936" spans="1:7" ht="15.75">
      <c r="A936" s="276" t="s">
        <v>512</v>
      </c>
      <c r="B936" s="54"/>
      <c r="C936" s="45" t="s">
        <v>172</v>
      </c>
      <c r="D936" s="45" t="s">
        <v>172</v>
      </c>
      <c r="E936" s="52" t="s">
        <v>511</v>
      </c>
      <c r="F936" s="57"/>
      <c r="G936" s="58">
        <f>G938</f>
        <v>2300</v>
      </c>
    </row>
    <row r="937" spans="1:7" ht="31.5">
      <c r="A937" s="252" t="s">
        <v>713</v>
      </c>
      <c r="B937" s="51"/>
      <c r="C937" s="45" t="s">
        <v>172</v>
      </c>
      <c r="D937" s="45" t="s">
        <v>172</v>
      </c>
      <c r="E937" s="52" t="s">
        <v>278</v>
      </c>
      <c r="F937" s="56"/>
      <c r="G937" s="62">
        <f>G938</f>
        <v>2300</v>
      </c>
    </row>
    <row r="938" spans="1:7" ht="15.75">
      <c r="A938" s="257" t="s">
        <v>693</v>
      </c>
      <c r="B938" s="55"/>
      <c r="C938" s="48" t="s">
        <v>172</v>
      </c>
      <c r="D938" s="48" t="s">
        <v>172</v>
      </c>
      <c r="E938" s="49" t="s">
        <v>712</v>
      </c>
      <c r="F938" s="56"/>
      <c r="G938" s="62">
        <f>G939</f>
        <v>2300</v>
      </c>
    </row>
    <row r="939" spans="1:7" ht="15.75">
      <c r="A939" s="163" t="s">
        <v>227</v>
      </c>
      <c r="B939" s="55"/>
      <c r="C939" s="48" t="s">
        <v>172</v>
      </c>
      <c r="D939" s="48" t="s">
        <v>172</v>
      </c>
      <c r="E939" s="49" t="s">
        <v>712</v>
      </c>
      <c r="F939" s="56" t="s">
        <v>199</v>
      </c>
      <c r="G939" s="62">
        <f>G940</f>
        <v>2300</v>
      </c>
    </row>
    <row r="940" spans="1:7" ht="15.75">
      <c r="A940" s="271" t="s">
        <v>179</v>
      </c>
      <c r="B940" s="55"/>
      <c r="C940" s="48" t="s">
        <v>172</v>
      </c>
      <c r="D940" s="48" t="s">
        <v>172</v>
      </c>
      <c r="E940" s="49" t="s">
        <v>712</v>
      </c>
      <c r="F940" s="56" t="s">
        <v>200</v>
      </c>
      <c r="G940" s="62">
        <v>2300</v>
      </c>
    </row>
    <row r="941" spans="1:7" ht="15.75">
      <c r="A941" s="234" t="s">
        <v>509</v>
      </c>
      <c r="B941" s="47"/>
      <c r="C941" s="45" t="s">
        <v>130</v>
      </c>
      <c r="D941" s="299" t="s">
        <v>175</v>
      </c>
      <c r="E941" s="298" t="s">
        <v>175</v>
      </c>
      <c r="F941" s="299" t="s">
        <v>175</v>
      </c>
      <c r="G941" s="58">
        <f>G942</f>
        <v>3500</v>
      </c>
    </row>
    <row r="942" spans="1:7" ht="15.75">
      <c r="A942" s="258" t="s">
        <v>508</v>
      </c>
      <c r="B942" s="51"/>
      <c r="C942" s="45" t="s">
        <v>130</v>
      </c>
      <c r="D942" s="45" t="s">
        <v>172</v>
      </c>
      <c r="E942" s="52"/>
      <c r="F942" s="57"/>
      <c r="G942" s="58">
        <f>G943</f>
        <v>3500</v>
      </c>
    </row>
    <row r="943" spans="1:7" ht="15.75">
      <c r="A943" s="252" t="s">
        <v>446</v>
      </c>
      <c r="B943" s="54"/>
      <c r="C943" s="45" t="s">
        <v>130</v>
      </c>
      <c r="D943" s="45" t="s">
        <v>172</v>
      </c>
      <c r="E943" s="52" t="s">
        <v>17</v>
      </c>
      <c r="F943" s="57"/>
      <c r="G943" s="58">
        <f>G944</f>
        <v>3500</v>
      </c>
    </row>
    <row r="944" spans="1:7" ht="31.5">
      <c r="A944" s="257" t="s">
        <v>507</v>
      </c>
      <c r="B944" s="55"/>
      <c r="C944" s="48" t="s">
        <v>130</v>
      </c>
      <c r="D944" s="48" t="s">
        <v>172</v>
      </c>
      <c r="E944" s="49" t="s">
        <v>506</v>
      </c>
      <c r="F944" s="56"/>
      <c r="G944" s="62">
        <f>G945</f>
        <v>3500</v>
      </c>
    </row>
    <row r="945" spans="1:7" ht="15.75">
      <c r="A945" s="237" t="s">
        <v>226</v>
      </c>
      <c r="B945" s="55"/>
      <c r="C945" s="48" t="s">
        <v>130</v>
      </c>
      <c r="D945" s="48" t="s">
        <v>172</v>
      </c>
      <c r="E945" s="49" t="s">
        <v>506</v>
      </c>
      <c r="F945" s="56" t="s">
        <v>188</v>
      </c>
      <c r="G945" s="62">
        <f>G946</f>
        <v>3500</v>
      </c>
    </row>
    <row r="946" spans="1:7" ht="15.75">
      <c r="A946" s="237" t="s">
        <v>189</v>
      </c>
      <c r="B946" s="55"/>
      <c r="C946" s="48" t="s">
        <v>130</v>
      </c>
      <c r="D946" s="48" t="s">
        <v>172</v>
      </c>
      <c r="E946" s="49" t="s">
        <v>506</v>
      </c>
      <c r="F946" s="56" t="s">
        <v>187</v>
      </c>
      <c r="G946" s="62">
        <v>3500</v>
      </c>
    </row>
    <row r="947" spans="1:7" ht="15.75">
      <c r="A947" s="234" t="s">
        <v>166</v>
      </c>
      <c r="B947" s="47"/>
      <c r="C947" s="45" t="s">
        <v>129</v>
      </c>
      <c r="D947" s="299" t="s">
        <v>175</v>
      </c>
      <c r="E947" s="298" t="s">
        <v>175</v>
      </c>
      <c r="F947" s="299" t="s">
        <v>175</v>
      </c>
      <c r="G947" s="58">
        <f>G948</f>
        <v>4041.54</v>
      </c>
    </row>
    <row r="948" spans="1:7" ht="15.75">
      <c r="A948" s="258" t="s">
        <v>167</v>
      </c>
      <c r="B948" s="51"/>
      <c r="C948" s="45" t="s">
        <v>129</v>
      </c>
      <c r="D948" s="45" t="s">
        <v>171</v>
      </c>
      <c r="E948" s="52"/>
      <c r="F948" s="57"/>
      <c r="G948" s="58">
        <f>G949</f>
        <v>4041.54</v>
      </c>
    </row>
    <row r="949" spans="1:7" ht="15.75">
      <c r="A949" s="276" t="s">
        <v>512</v>
      </c>
      <c r="B949" s="54"/>
      <c r="C949" s="45" t="s">
        <v>129</v>
      </c>
      <c r="D949" s="45" t="s">
        <v>171</v>
      </c>
      <c r="E949" s="52" t="s">
        <v>511</v>
      </c>
      <c r="F949" s="57"/>
      <c r="G949" s="58">
        <f>G951</f>
        <v>4041.54</v>
      </c>
    </row>
    <row r="950" spans="1:7" ht="15.75">
      <c r="A950" s="252" t="s">
        <v>513</v>
      </c>
      <c r="B950" s="51"/>
      <c r="C950" s="45" t="s">
        <v>129</v>
      </c>
      <c r="D950" s="45" t="s">
        <v>171</v>
      </c>
      <c r="E950" s="52" t="s">
        <v>281</v>
      </c>
      <c r="F950" s="56"/>
      <c r="G950" s="62">
        <f>G951</f>
        <v>4041.54</v>
      </c>
    </row>
    <row r="951" spans="1:7" ht="15.75">
      <c r="A951" s="257" t="s">
        <v>693</v>
      </c>
      <c r="B951" s="55"/>
      <c r="C951" s="48" t="s">
        <v>129</v>
      </c>
      <c r="D951" s="48" t="s">
        <v>171</v>
      </c>
      <c r="E951" s="49" t="s">
        <v>692</v>
      </c>
      <c r="F951" s="56"/>
      <c r="G951" s="62">
        <f>G952</f>
        <v>4041.54</v>
      </c>
    </row>
    <row r="952" spans="1:7" ht="15.75">
      <c r="A952" s="163" t="s">
        <v>227</v>
      </c>
      <c r="B952" s="55"/>
      <c r="C952" s="48" t="s">
        <v>129</v>
      </c>
      <c r="D952" s="48" t="s">
        <v>171</v>
      </c>
      <c r="E952" s="49" t="s">
        <v>692</v>
      </c>
      <c r="F952" s="56" t="s">
        <v>199</v>
      </c>
      <c r="G952" s="62">
        <f>G953</f>
        <v>4041.54</v>
      </c>
    </row>
    <row r="953" spans="1:7" ht="15.75">
      <c r="A953" s="271" t="s">
        <v>179</v>
      </c>
      <c r="B953" s="55"/>
      <c r="C953" s="48" t="s">
        <v>129</v>
      </c>
      <c r="D953" s="48" t="s">
        <v>171</v>
      </c>
      <c r="E953" s="49" t="s">
        <v>692</v>
      </c>
      <c r="F953" s="56" t="s">
        <v>200</v>
      </c>
      <c r="G953" s="62">
        <f>3580.54+461</f>
        <v>4041.54</v>
      </c>
    </row>
    <row r="954" spans="1:7" ht="15.75">
      <c r="A954" s="234" t="s">
        <v>155</v>
      </c>
      <c r="B954" s="51"/>
      <c r="C954" s="45" t="s">
        <v>127</v>
      </c>
      <c r="D954" s="45"/>
      <c r="E954" s="52"/>
      <c r="F954" s="57"/>
      <c r="G954" s="58">
        <f>G955</f>
        <v>22432.8</v>
      </c>
    </row>
    <row r="955" spans="1:7" ht="15.75">
      <c r="A955" s="234" t="s">
        <v>124</v>
      </c>
      <c r="B955" s="51"/>
      <c r="C955" s="45" t="s">
        <v>127</v>
      </c>
      <c r="D955" s="45" t="s">
        <v>158</v>
      </c>
      <c r="E955" s="52"/>
      <c r="F955" s="57"/>
      <c r="G955" s="58">
        <f>G956</f>
        <v>22432.8</v>
      </c>
    </row>
    <row r="956" spans="1:7" ht="31.5">
      <c r="A956" s="258" t="s">
        <v>438</v>
      </c>
      <c r="B956" s="51"/>
      <c r="C956" s="45" t="s">
        <v>127</v>
      </c>
      <c r="D956" s="45" t="s">
        <v>158</v>
      </c>
      <c r="E956" s="52" t="s">
        <v>323</v>
      </c>
      <c r="F956" s="57"/>
      <c r="G956" s="58">
        <f>G957+G960</f>
        <v>22432.8</v>
      </c>
    </row>
    <row r="957" spans="1:7" ht="63">
      <c r="A957" s="287" t="s">
        <v>326</v>
      </c>
      <c r="B957" s="51"/>
      <c r="C957" s="48" t="s">
        <v>127</v>
      </c>
      <c r="D957" s="48" t="s">
        <v>158</v>
      </c>
      <c r="E957" s="49" t="s">
        <v>324</v>
      </c>
      <c r="F957" s="56"/>
      <c r="G957" s="62">
        <f>G958</f>
        <v>21984.1</v>
      </c>
    </row>
    <row r="958" spans="1:23" ht="15.75">
      <c r="A958" s="237" t="s">
        <v>89</v>
      </c>
      <c r="B958" s="47"/>
      <c r="C958" s="48" t="s">
        <v>127</v>
      </c>
      <c r="D958" s="48" t="s">
        <v>158</v>
      </c>
      <c r="E958" s="49" t="s">
        <v>324</v>
      </c>
      <c r="F958" s="56" t="s">
        <v>85</v>
      </c>
      <c r="G958" s="62">
        <f>G959</f>
        <v>21984.1</v>
      </c>
      <c r="W958" s="31"/>
    </row>
    <row r="959" spans="1:7" ht="15.75">
      <c r="A959" s="282" t="s">
        <v>84</v>
      </c>
      <c r="B959" s="55"/>
      <c r="C959" s="48" t="s">
        <v>127</v>
      </c>
      <c r="D959" s="48" t="s">
        <v>158</v>
      </c>
      <c r="E959" s="49" t="s">
        <v>324</v>
      </c>
      <c r="F959" s="56" t="s">
        <v>86</v>
      </c>
      <c r="G959" s="62">
        <v>21984.1</v>
      </c>
    </row>
    <row r="960" spans="1:7" ht="47.25">
      <c r="A960" s="287" t="s">
        <v>327</v>
      </c>
      <c r="B960" s="51"/>
      <c r="C960" s="48" t="s">
        <v>127</v>
      </c>
      <c r="D960" s="48" t="s">
        <v>158</v>
      </c>
      <c r="E960" s="49" t="s">
        <v>325</v>
      </c>
      <c r="F960" s="56"/>
      <c r="G960" s="62">
        <f>G961</f>
        <v>448.7</v>
      </c>
    </row>
    <row r="961" spans="1:7" ht="15.75">
      <c r="A961" s="237" t="s">
        <v>89</v>
      </c>
      <c r="B961" s="47"/>
      <c r="C961" s="48" t="s">
        <v>127</v>
      </c>
      <c r="D961" s="48" t="s">
        <v>158</v>
      </c>
      <c r="E961" s="49" t="s">
        <v>325</v>
      </c>
      <c r="F961" s="56" t="s">
        <v>85</v>
      </c>
      <c r="G961" s="62">
        <f>G962</f>
        <v>448.7</v>
      </c>
    </row>
    <row r="962" spans="1:7" ht="15.75">
      <c r="A962" s="282" t="s">
        <v>84</v>
      </c>
      <c r="B962" s="55"/>
      <c r="C962" s="48" t="s">
        <v>127</v>
      </c>
      <c r="D962" s="48" t="s">
        <v>158</v>
      </c>
      <c r="E962" s="49" t="s">
        <v>325</v>
      </c>
      <c r="F962" s="56" t="s">
        <v>86</v>
      </c>
      <c r="G962" s="62">
        <v>448.7</v>
      </c>
    </row>
    <row r="963" spans="1:7" ht="15.75">
      <c r="A963" s="234" t="s">
        <v>162</v>
      </c>
      <c r="B963" s="47"/>
      <c r="C963" s="45" t="s">
        <v>156</v>
      </c>
      <c r="D963" s="299" t="s">
        <v>175</v>
      </c>
      <c r="E963" s="298" t="s">
        <v>175</v>
      </c>
      <c r="F963" s="299" t="s">
        <v>175</v>
      </c>
      <c r="G963" s="58">
        <f>G964</f>
        <v>2261.05</v>
      </c>
    </row>
    <row r="964" spans="1:7" ht="15.75">
      <c r="A964" s="258" t="s">
        <v>185</v>
      </c>
      <c r="B964" s="51"/>
      <c r="C964" s="45" t="s">
        <v>156</v>
      </c>
      <c r="D964" s="45" t="s">
        <v>171</v>
      </c>
      <c r="E964" s="52"/>
      <c r="F964" s="57"/>
      <c r="G964" s="58">
        <f>G965</f>
        <v>2261.05</v>
      </c>
    </row>
    <row r="965" spans="1:7" ht="15.75">
      <c r="A965" s="276" t="s">
        <v>512</v>
      </c>
      <c r="B965" s="54"/>
      <c r="C965" s="45" t="s">
        <v>156</v>
      </c>
      <c r="D965" s="45" t="s">
        <v>171</v>
      </c>
      <c r="E965" s="52" t="s">
        <v>511</v>
      </c>
      <c r="F965" s="57"/>
      <c r="G965" s="58">
        <f>G967</f>
        <v>2261.05</v>
      </c>
    </row>
    <row r="966" spans="1:7" ht="15.75">
      <c r="A966" s="252" t="s">
        <v>513</v>
      </c>
      <c r="B966" s="51"/>
      <c r="C966" s="45" t="s">
        <v>156</v>
      </c>
      <c r="D966" s="45" t="s">
        <v>171</v>
      </c>
      <c r="E966" s="52" t="s">
        <v>281</v>
      </c>
      <c r="F966" s="56"/>
      <c r="G966" s="62">
        <f>G967</f>
        <v>2261.05</v>
      </c>
    </row>
    <row r="967" spans="1:7" ht="15.75">
      <c r="A967" s="257" t="s">
        <v>695</v>
      </c>
      <c r="B967" s="55"/>
      <c r="C967" s="48" t="s">
        <v>156</v>
      </c>
      <c r="D967" s="48" t="s">
        <v>171</v>
      </c>
      <c r="E967" s="49" t="s">
        <v>694</v>
      </c>
      <c r="F967" s="56"/>
      <c r="G967" s="62">
        <f>G968</f>
        <v>2261.05</v>
      </c>
    </row>
    <row r="968" spans="1:7" ht="15.75">
      <c r="A968" s="163" t="s">
        <v>227</v>
      </c>
      <c r="B968" s="55"/>
      <c r="C968" s="48" t="s">
        <v>156</v>
      </c>
      <c r="D968" s="48" t="s">
        <v>171</v>
      </c>
      <c r="E968" s="49" t="s">
        <v>694</v>
      </c>
      <c r="F968" s="56" t="s">
        <v>199</v>
      </c>
      <c r="G968" s="62">
        <f>G969</f>
        <v>2261.05</v>
      </c>
    </row>
    <row r="969" spans="1:7" ht="15.75">
      <c r="A969" s="271" t="s">
        <v>179</v>
      </c>
      <c r="B969" s="55"/>
      <c r="C969" s="48" t="s">
        <v>156</v>
      </c>
      <c r="D969" s="48" t="s">
        <v>171</v>
      </c>
      <c r="E969" s="49" t="s">
        <v>694</v>
      </c>
      <c r="F969" s="56" t="s">
        <v>200</v>
      </c>
      <c r="G969" s="62">
        <v>2261.05</v>
      </c>
    </row>
    <row r="970" spans="1:23" ht="15.75">
      <c r="A970" s="209" t="s">
        <v>186</v>
      </c>
      <c r="B970" s="210"/>
      <c r="C970" s="210"/>
      <c r="D970" s="210"/>
      <c r="E970" s="210"/>
      <c r="F970" s="210"/>
      <c r="G970" s="101">
        <f>G17+G221+G263+G282+G512+G755+G775+G824+G838</f>
        <v>1684935.744</v>
      </c>
      <c r="W970" s="31" t="s">
        <v>674</v>
      </c>
    </row>
    <row r="971" spans="1:7" ht="15.75">
      <c r="A971" s="29"/>
      <c r="B971" s="375"/>
      <c r="C971" s="375"/>
      <c r="D971" s="375"/>
      <c r="E971" s="375"/>
      <c r="F971" s="375"/>
      <c r="G971" s="211"/>
    </row>
    <row r="972" spans="1:7" ht="15.75">
      <c r="A972" s="29"/>
      <c r="B972" s="375"/>
      <c r="C972" s="375"/>
      <c r="D972" s="375"/>
      <c r="E972" s="375"/>
      <c r="F972" s="375"/>
      <c r="G972" s="211"/>
    </row>
    <row r="973" spans="1:7" ht="15.75">
      <c r="A973" s="29"/>
      <c r="B973" s="375"/>
      <c r="C973" s="375"/>
      <c r="D973" s="375"/>
      <c r="E973" s="375"/>
      <c r="F973" s="375"/>
      <c r="G973" s="211"/>
    </row>
    <row r="974" spans="1:7" ht="15.75">
      <c r="A974" s="29"/>
      <c r="B974" s="375"/>
      <c r="C974" s="375"/>
      <c r="D974" s="375"/>
      <c r="E974" s="375"/>
      <c r="F974" s="375"/>
      <c r="G974" s="211"/>
    </row>
    <row r="975" spans="1:7" ht="15.75">
      <c r="A975" s="29"/>
      <c r="B975" s="375"/>
      <c r="C975" s="375"/>
      <c r="D975" s="375"/>
      <c r="E975" s="375"/>
      <c r="F975" s="375"/>
      <c r="G975" s="211"/>
    </row>
    <row r="976" spans="1:7" ht="15.75">
      <c r="A976" s="29"/>
      <c r="B976" s="375"/>
      <c r="C976" s="375"/>
      <c r="D976" s="375"/>
      <c r="E976" s="375"/>
      <c r="F976" s="375"/>
      <c r="G976" s="211"/>
    </row>
    <row r="977" spans="1:7" ht="15.75">
      <c r="A977" s="29"/>
      <c r="B977" s="375"/>
      <c r="C977" s="375"/>
      <c r="D977" s="375"/>
      <c r="E977" s="375"/>
      <c r="F977" s="375"/>
      <c r="G977" s="211"/>
    </row>
    <row r="978" spans="1:7" ht="15.75">
      <c r="A978" s="29"/>
      <c r="B978" s="375"/>
      <c r="C978" s="375"/>
      <c r="D978" s="375"/>
      <c r="E978" s="375"/>
      <c r="F978" s="375"/>
      <c r="G978" s="211"/>
    </row>
    <row r="979" spans="1:7" ht="15.75">
      <c r="A979" s="29"/>
      <c r="B979" s="375"/>
      <c r="C979" s="375"/>
      <c r="D979" s="375"/>
      <c r="E979" s="375"/>
      <c r="F979" s="375"/>
      <c r="G979" s="211"/>
    </row>
    <row r="980" spans="1:7" ht="15.75">
      <c r="A980" s="29"/>
      <c r="B980" s="375"/>
      <c r="C980" s="375"/>
      <c r="D980" s="375"/>
      <c r="E980" s="375"/>
      <c r="F980" s="375"/>
      <c r="G980" s="211"/>
    </row>
    <row r="981" spans="1:7" ht="15.75">
      <c r="A981" s="29"/>
      <c r="B981" s="375"/>
      <c r="C981" s="375"/>
      <c r="D981" s="375"/>
      <c r="E981" s="375"/>
      <c r="F981" s="375"/>
      <c r="G981" s="211"/>
    </row>
    <row r="982" spans="1:7" ht="15.75">
      <c r="A982" s="29"/>
      <c r="B982" s="375"/>
      <c r="C982" s="375"/>
      <c r="D982" s="375"/>
      <c r="E982" s="375"/>
      <c r="F982" s="375"/>
      <c r="G982" s="211"/>
    </row>
    <row r="983" spans="1:7" ht="15.75">
      <c r="A983" s="29"/>
      <c r="B983" s="375"/>
      <c r="C983" s="375"/>
      <c r="D983" s="375"/>
      <c r="E983" s="375"/>
      <c r="F983" s="375"/>
      <c r="G983" s="211"/>
    </row>
    <row r="984" spans="1:7" ht="15.75">
      <c r="A984" s="29"/>
      <c r="B984" s="375"/>
      <c r="C984" s="375"/>
      <c r="D984" s="375"/>
      <c r="E984" s="375"/>
      <c r="F984" s="375"/>
      <c r="G984" s="211"/>
    </row>
    <row r="985" spans="1:7" ht="15.75">
      <c r="A985" s="29"/>
      <c r="B985" s="375"/>
      <c r="C985" s="375"/>
      <c r="D985" s="375"/>
      <c r="E985" s="375"/>
      <c r="F985" s="375"/>
      <c r="G985" s="211"/>
    </row>
    <row r="986" spans="1:7" ht="15.75">
      <c r="A986" s="29"/>
      <c r="B986" s="375"/>
      <c r="C986" s="375"/>
      <c r="D986" s="375"/>
      <c r="E986" s="375"/>
      <c r="F986" s="375"/>
      <c r="G986" s="211"/>
    </row>
    <row r="987" spans="1:7" ht="15.75">
      <c r="A987" s="29"/>
      <c r="B987" s="375"/>
      <c r="C987" s="375"/>
      <c r="D987" s="375"/>
      <c r="E987" s="375"/>
      <c r="F987" s="375"/>
      <c r="G987" s="211"/>
    </row>
    <row r="988" spans="1:7" ht="15.75">
      <c r="A988" s="29"/>
      <c r="B988" s="375"/>
      <c r="C988" s="375"/>
      <c r="D988" s="375"/>
      <c r="E988" s="375"/>
      <c r="F988" s="375"/>
      <c r="G988" s="211"/>
    </row>
    <row r="989" spans="1:7" ht="15.75">
      <c r="A989" s="29"/>
      <c r="B989" s="375"/>
      <c r="C989" s="375"/>
      <c r="D989" s="375"/>
      <c r="E989" s="375"/>
      <c r="F989" s="375"/>
      <c r="G989" s="211"/>
    </row>
    <row r="990" spans="1:7" ht="15.75">
      <c r="A990" s="29"/>
      <c r="B990" s="375"/>
      <c r="C990" s="375"/>
      <c r="D990" s="375"/>
      <c r="E990" s="375"/>
      <c r="F990" s="375"/>
      <c r="G990" s="211"/>
    </row>
    <row r="991" spans="1:7" ht="15.75">
      <c r="A991" s="29"/>
      <c r="B991" s="375"/>
      <c r="C991" s="375"/>
      <c r="D991" s="375"/>
      <c r="E991" s="375"/>
      <c r="F991" s="375"/>
      <c r="G991" s="211"/>
    </row>
    <row r="992" spans="1:7" ht="15.75">
      <c r="A992" s="29"/>
      <c r="B992" s="375"/>
      <c r="C992" s="375"/>
      <c r="D992" s="375"/>
      <c r="E992" s="375"/>
      <c r="F992" s="375"/>
      <c r="G992" s="211"/>
    </row>
    <row r="993" spans="1:7" ht="15.75">
      <c r="A993" s="29"/>
      <c r="B993" s="375"/>
      <c r="C993" s="375"/>
      <c r="D993" s="375"/>
      <c r="E993" s="375"/>
      <c r="F993" s="375"/>
      <c r="G993" s="211"/>
    </row>
    <row r="994" spans="1:7" ht="15.75">
      <c r="A994" s="29"/>
      <c r="B994" s="375"/>
      <c r="C994" s="375"/>
      <c r="D994" s="375"/>
      <c r="E994" s="375"/>
      <c r="F994" s="375"/>
      <c r="G994" s="211"/>
    </row>
    <row r="995" spans="1:7" ht="15.75">
      <c r="A995" s="29"/>
      <c r="B995" s="375"/>
      <c r="C995" s="375"/>
      <c r="D995" s="375"/>
      <c r="E995" s="375"/>
      <c r="F995" s="375"/>
      <c r="G995" s="211"/>
    </row>
    <row r="996" spans="1:7" ht="15.75">
      <c r="A996" s="29"/>
      <c r="B996" s="375"/>
      <c r="C996" s="375"/>
      <c r="D996" s="375"/>
      <c r="E996" s="375"/>
      <c r="F996" s="375"/>
      <c r="G996" s="211"/>
    </row>
    <row r="997" spans="1:7" ht="15.75">
      <c r="A997" s="29"/>
      <c r="B997" s="375"/>
      <c r="C997" s="375"/>
      <c r="D997" s="375"/>
      <c r="E997" s="375"/>
      <c r="F997" s="375"/>
      <c r="G997" s="211"/>
    </row>
    <row r="998" spans="1:7" ht="15.75">
      <c r="A998" s="29"/>
      <c r="B998" s="375"/>
      <c r="C998" s="375"/>
      <c r="D998" s="375"/>
      <c r="E998" s="375"/>
      <c r="F998" s="375"/>
      <c r="G998" s="211"/>
    </row>
    <row r="999" spans="1:7" ht="15.75">
      <c r="A999" s="29"/>
      <c r="B999" s="375"/>
      <c r="C999" s="375"/>
      <c r="D999" s="375"/>
      <c r="E999" s="375"/>
      <c r="F999" s="375"/>
      <c r="G999" s="211"/>
    </row>
    <row r="1000" spans="1:7" ht="15.75">
      <c r="A1000" s="29"/>
      <c r="B1000" s="375"/>
      <c r="C1000" s="375"/>
      <c r="D1000" s="375"/>
      <c r="E1000" s="375"/>
      <c r="F1000" s="375"/>
      <c r="G1000" s="211"/>
    </row>
    <row r="1001" spans="1:7" ht="15.75">
      <c r="A1001" s="29"/>
      <c r="B1001" s="375"/>
      <c r="C1001" s="375"/>
      <c r="D1001" s="375"/>
      <c r="E1001" s="375"/>
      <c r="F1001" s="375"/>
      <c r="G1001" s="211"/>
    </row>
    <row r="1002" spans="1:7" ht="15.75">
      <c r="A1002" s="29"/>
      <c r="B1002" s="375"/>
      <c r="C1002" s="375"/>
      <c r="D1002" s="375"/>
      <c r="E1002" s="375"/>
      <c r="F1002" s="375"/>
      <c r="G1002" s="211"/>
    </row>
    <row r="1003" spans="1:7" ht="15.75">
      <c r="A1003" s="29"/>
      <c r="B1003" s="375"/>
      <c r="C1003" s="375"/>
      <c r="D1003" s="375"/>
      <c r="E1003" s="375"/>
      <c r="F1003" s="375"/>
      <c r="G1003" s="211"/>
    </row>
    <row r="1004" spans="1:7" ht="15.75">
      <c r="A1004" s="29"/>
      <c r="B1004" s="375"/>
      <c r="C1004" s="375"/>
      <c r="D1004" s="375"/>
      <c r="E1004" s="375"/>
      <c r="F1004" s="375"/>
      <c r="G1004" s="211"/>
    </row>
    <row r="1005" spans="1:7" ht="15.75">
      <c r="A1005" s="29"/>
      <c r="B1005" s="375"/>
      <c r="C1005" s="375"/>
      <c r="D1005" s="375"/>
      <c r="E1005" s="375"/>
      <c r="F1005" s="375"/>
      <c r="G1005" s="211"/>
    </row>
    <row r="1006" spans="1:7" ht="15.75">
      <c r="A1006" s="29"/>
      <c r="B1006" s="375"/>
      <c r="C1006" s="375"/>
      <c r="D1006" s="375"/>
      <c r="E1006" s="375"/>
      <c r="F1006" s="375"/>
      <c r="G1006" s="211"/>
    </row>
    <row r="1007" spans="1:7" ht="15.75">
      <c r="A1007" s="29"/>
      <c r="B1007" s="375"/>
      <c r="C1007" s="375"/>
      <c r="D1007" s="375"/>
      <c r="E1007" s="375"/>
      <c r="F1007" s="375"/>
      <c r="G1007" s="211"/>
    </row>
    <row r="1008" spans="1:7" ht="15.75">
      <c r="A1008" s="29"/>
      <c r="B1008" s="375"/>
      <c r="C1008" s="375"/>
      <c r="D1008" s="375"/>
      <c r="E1008" s="375"/>
      <c r="F1008" s="375"/>
      <c r="G1008" s="211"/>
    </row>
    <row r="1009" spans="1:7" ht="15.75">
      <c r="A1009" s="29"/>
      <c r="B1009" s="375"/>
      <c r="C1009" s="375"/>
      <c r="D1009" s="375"/>
      <c r="E1009" s="375"/>
      <c r="F1009" s="375"/>
      <c r="G1009" s="211"/>
    </row>
    <row r="1010" spans="1:7" ht="15.75">
      <c r="A1010" s="29"/>
      <c r="B1010" s="375"/>
      <c r="C1010" s="375"/>
      <c r="D1010" s="375"/>
      <c r="E1010" s="375"/>
      <c r="F1010" s="375"/>
      <c r="G1010" s="211"/>
    </row>
    <row r="1011" spans="1:7" ht="15.75">
      <c r="A1011" s="29"/>
      <c r="B1011" s="375"/>
      <c r="C1011" s="375"/>
      <c r="D1011" s="375"/>
      <c r="E1011" s="375"/>
      <c r="F1011" s="375"/>
      <c r="G1011" s="211"/>
    </row>
  </sheetData>
  <sheetProtection/>
  <autoFilter ref="A16:G926"/>
  <mergeCells count="16">
    <mergeCell ref="D7:G7"/>
    <mergeCell ref="D8:G8"/>
    <mergeCell ref="C9:G9"/>
    <mergeCell ref="C11:G11"/>
    <mergeCell ref="A13:G13"/>
    <mergeCell ref="D1:G1"/>
    <mergeCell ref="D2:G2"/>
    <mergeCell ref="C3:G3"/>
    <mergeCell ref="C4:G4"/>
    <mergeCell ref="C5:G5"/>
    <mergeCell ref="I16:J16"/>
    <mergeCell ref="C10:G10"/>
    <mergeCell ref="I28:J28"/>
    <mergeCell ref="I30:J30"/>
    <mergeCell ref="I32:J32"/>
    <mergeCell ref="I34:J34"/>
  </mergeCells>
  <printOptions/>
  <pageMargins left="1.1811023622047245" right="0.5905511811023623" top="0.7874015748031497" bottom="0.5905511811023623" header="0" footer="0"/>
  <pageSetup fitToHeight="14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1045"/>
  <sheetViews>
    <sheetView view="pageBreakPreview" zoomScale="80" zoomScaleSheetLayoutView="80" zoomScalePageLayoutView="0" workbookViewId="0" topLeftCell="A1">
      <pane ySplit="6" topLeftCell="A939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4.25390625" style="212" customWidth="1"/>
    <col min="2" max="3" width="4.25390625" style="213" customWidth="1"/>
    <col min="4" max="4" width="4.625" style="213" customWidth="1"/>
    <col min="5" max="5" width="17.00390625" style="213" customWidth="1"/>
    <col min="6" max="6" width="5.125" style="213" customWidth="1"/>
    <col min="7" max="7" width="16.875" style="214" customWidth="1"/>
    <col min="8" max="8" width="13.125" style="34" hidden="1" customWidth="1"/>
    <col min="9" max="9" width="13.25390625" style="34" hidden="1" customWidth="1"/>
    <col min="10" max="16" width="0" style="34" hidden="1" customWidth="1"/>
    <col min="17" max="17" width="12.375" style="22" hidden="1" customWidth="1"/>
    <col min="18" max="18" width="10.125" style="34" hidden="1" customWidth="1"/>
    <col min="19" max="22" width="0" style="34" hidden="1" customWidth="1"/>
    <col min="23" max="24" width="16.875" style="214" customWidth="1"/>
    <col min="25" max="16384" width="9.125" style="5" customWidth="1"/>
  </cols>
  <sheetData>
    <row r="1" spans="1:24" s="13" customFormat="1" ht="15.75">
      <c r="A1" s="29"/>
      <c r="B1" s="30"/>
      <c r="C1" s="30"/>
      <c r="D1" s="390" t="s">
        <v>724</v>
      </c>
      <c r="E1" s="391"/>
      <c r="F1" s="391"/>
      <c r="G1" s="391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</row>
    <row r="2" spans="1:24" s="31" customFormat="1" ht="15.75">
      <c r="A2" s="29"/>
      <c r="B2" s="332"/>
      <c r="C2" s="332"/>
      <c r="D2" s="332"/>
      <c r="E2" s="33"/>
      <c r="F2" s="332"/>
      <c r="G2" s="30"/>
      <c r="Q2" s="32"/>
      <c r="W2" s="30"/>
      <c r="X2" s="30"/>
    </row>
    <row r="3" spans="1:24" s="34" customFormat="1" ht="17.25" customHeight="1">
      <c r="A3" s="388" t="s">
        <v>431</v>
      </c>
      <c r="B3" s="389"/>
      <c r="C3" s="389"/>
      <c r="D3" s="389"/>
      <c r="E3" s="389"/>
      <c r="F3" s="389"/>
      <c r="G3" s="388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</row>
    <row r="4" spans="1:24" s="34" customFormat="1" ht="15.75">
      <c r="A4" s="35"/>
      <c r="B4" s="36"/>
      <c r="C4" s="36"/>
      <c r="D4" s="36"/>
      <c r="E4" s="36"/>
      <c r="F4" s="36"/>
      <c r="G4" s="36"/>
      <c r="Q4" s="22"/>
      <c r="W4" s="36"/>
      <c r="X4" s="36"/>
    </row>
    <row r="5" spans="1:24" s="31" customFormat="1" ht="66" customHeight="1">
      <c r="A5" s="26" t="s">
        <v>146</v>
      </c>
      <c r="B5" s="37" t="s">
        <v>147</v>
      </c>
      <c r="C5" s="37" t="s">
        <v>148</v>
      </c>
      <c r="D5" s="37" t="s">
        <v>149</v>
      </c>
      <c r="E5" s="37" t="s">
        <v>145</v>
      </c>
      <c r="F5" s="37" t="s">
        <v>150</v>
      </c>
      <c r="G5" s="26" t="s">
        <v>675</v>
      </c>
      <c r="H5" s="26" t="s">
        <v>676</v>
      </c>
      <c r="I5" s="26" t="s">
        <v>677</v>
      </c>
      <c r="J5" s="26" t="s">
        <v>675</v>
      </c>
      <c r="K5" s="26" t="s">
        <v>676</v>
      </c>
      <c r="L5" s="26" t="s">
        <v>677</v>
      </c>
      <c r="M5" s="26" t="s">
        <v>675</v>
      </c>
      <c r="N5" s="26" t="s">
        <v>676</v>
      </c>
      <c r="O5" s="26" t="s">
        <v>677</v>
      </c>
      <c r="P5" s="26" t="s">
        <v>675</v>
      </c>
      <c r="Q5" s="26" t="s">
        <v>676</v>
      </c>
      <c r="R5" s="26" t="s">
        <v>677</v>
      </c>
      <c r="S5" s="26" t="s">
        <v>675</v>
      </c>
      <c r="T5" s="26" t="s">
        <v>676</v>
      </c>
      <c r="U5" s="26" t="s">
        <v>677</v>
      </c>
      <c r="V5" s="26" t="s">
        <v>675</v>
      </c>
      <c r="W5" s="26" t="s">
        <v>676</v>
      </c>
      <c r="X5" s="26" t="s">
        <v>677</v>
      </c>
    </row>
    <row r="6" spans="1:24" s="39" customFormat="1" ht="12.75" customHeight="1">
      <c r="A6" s="2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28" t="s">
        <v>132</v>
      </c>
      <c r="H6" s="28" t="s">
        <v>678</v>
      </c>
      <c r="I6" s="28" t="s">
        <v>679</v>
      </c>
      <c r="J6" s="28" t="s">
        <v>135</v>
      </c>
      <c r="K6" s="28" t="s">
        <v>678</v>
      </c>
      <c r="L6" s="28" t="s">
        <v>679</v>
      </c>
      <c r="M6" s="28" t="s">
        <v>135</v>
      </c>
      <c r="N6" s="28" t="s">
        <v>678</v>
      </c>
      <c r="O6" s="28" t="s">
        <v>679</v>
      </c>
      <c r="P6" s="28" t="s">
        <v>135</v>
      </c>
      <c r="Q6" s="28" t="s">
        <v>678</v>
      </c>
      <c r="R6" s="28" t="s">
        <v>679</v>
      </c>
      <c r="S6" s="28" t="s">
        <v>135</v>
      </c>
      <c r="T6" s="28" t="s">
        <v>678</v>
      </c>
      <c r="U6" s="28" t="s">
        <v>679</v>
      </c>
      <c r="V6" s="28" t="s">
        <v>135</v>
      </c>
      <c r="W6" s="28" t="s">
        <v>681</v>
      </c>
      <c r="X6" s="28" t="s">
        <v>682</v>
      </c>
    </row>
    <row r="7" spans="1:24" ht="15.75">
      <c r="A7" s="233" t="s">
        <v>518</v>
      </c>
      <c r="B7" s="108" t="s">
        <v>177</v>
      </c>
      <c r="C7" s="199"/>
      <c r="D7" s="199"/>
      <c r="E7" s="200"/>
      <c r="F7" s="199"/>
      <c r="G7" s="313">
        <f>G8+G115+G123+G155+G190+G197+G204</f>
        <v>109472.14</v>
      </c>
      <c r="H7" s="313">
        <f aca="true" t="shared" si="0" ref="H7:X7">H8+H115+H123+H155+H190+H197+H204</f>
        <v>0</v>
      </c>
      <c r="I7" s="313">
        <f t="shared" si="0"/>
        <v>0</v>
      </c>
      <c r="J7" s="313">
        <f t="shared" si="0"/>
        <v>0</v>
      </c>
      <c r="K7" s="313">
        <f t="shared" si="0"/>
        <v>0</v>
      </c>
      <c r="L7" s="313">
        <f t="shared" si="0"/>
        <v>0</v>
      </c>
      <c r="M7" s="313">
        <f t="shared" si="0"/>
        <v>0</v>
      </c>
      <c r="N7" s="313">
        <f t="shared" si="0"/>
        <v>0</v>
      </c>
      <c r="O7" s="313">
        <f t="shared" si="0"/>
        <v>0</v>
      </c>
      <c r="P7" s="313">
        <f t="shared" si="0"/>
        <v>0</v>
      </c>
      <c r="Q7" s="313">
        <f t="shared" si="0"/>
        <v>0</v>
      </c>
      <c r="R7" s="313">
        <f t="shared" si="0"/>
        <v>0</v>
      </c>
      <c r="S7" s="313">
        <f t="shared" si="0"/>
        <v>0</v>
      </c>
      <c r="T7" s="313">
        <f t="shared" si="0"/>
        <v>0</v>
      </c>
      <c r="U7" s="313">
        <f t="shared" si="0"/>
        <v>0</v>
      </c>
      <c r="V7" s="313">
        <f t="shared" si="0"/>
        <v>0</v>
      </c>
      <c r="W7" s="313">
        <f>W8+W115+W123+W155+W190+W197+W204</f>
        <v>106790.06926</v>
      </c>
      <c r="X7" s="313">
        <f t="shared" si="0"/>
        <v>2682.070739999996</v>
      </c>
    </row>
    <row r="8" spans="1:24" ht="15.75">
      <c r="A8" s="234" t="s">
        <v>131</v>
      </c>
      <c r="B8" s="51"/>
      <c r="C8" s="45" t="s">
        <v>157</v>
      </c>
      <c r="D8" s="48"/>
      <c r="E8" s="49" t="s">
        <v>175</v>
      </c>
      <c r="F8" s="48"/>
      <c r="G8" s="58">
        <f>G9+G14+G55+G50</f>
        <v>90864.46399999999</v>
      </c>
      <c r="J8" s="333"/>
      <c r="Q8" s="34"/>
      <c r="R8" s="333"/>
      <c r="W8" s="58">
        <f>W9+W14+W55+W50</f>
        <v>90864.41426</v>
      </c>
      <c r="X8" s="58">
        <f>X9+X14+X55+X50</f>
        <v>0.049739999995836115</v>
      </c>
    </row>
    <row r="9" spans="1:24" ht="15.75">
      <c r="A9" s="234" t="s">
        <v>206</v>
      </c>
      <c r="B9" s="51"/>
      <c r="C9" s="45" t="s">
        <v>157</v>
      </c>
      <c r="D9" s="45" t="s">
        <v>171</v>
      </c>
      <c r="E9" s="49"/>
      <c r="F9" s="66"/>
      <c r="G9" s="58">
        <f>G10</f>
        <v>3517.2</v>
      </c>
      <c r="J9" s="333"/>
      <c r="W9" s="58">
        <f aca="true" t="shared" si="1" ref="W9:X12">W10</f>
        <v>3517.2</v>
      </c>
      <c r="X9" s="58">
        <f t="shared" si="1"/>
        <v>0</v>
      </c>
    </row>
    <row r="10" spans="1:24" ht="31.5">
      <c r="A10" s="234" t="s">
        <v>461</v>
      </c>
      <c r="B10" s="51"/>
      <c r="C10" s="45" t="s">
        <v>157</v>
      </c>
      <c r="D10" s="45" t="s">
        <v>171</v>
      </c>
      <c r="E10" s="52" t="s">
        <v>41</v>
      </c>
      <c r="F10" s="77"/>
      <c r="G10" s="58">
        <f>G11</f>
        <v>3517.2</v>
      </c>
      <c r="J10" s="333"/>
      <c r="K10" s="333"/>
      <c r="R10" s="333"/>
      <c r="W10" s="58">
        <f t="shared" si="1"/>
        <v>3517.2</v>
      </c>
      <c r="X10" s="58">
        <f t="shared" si="1"/>
        <v>0</v>
      </c>
    </row>
    <row r="11" spans="1:24" ht="15.75">
      <c r="A11" s="235" t="s">
        <v>115</v>
      </c>
      <c r="B11" s="51"/>
      <c r="C11" s="48" t="s">
        <v>157</v>
      </c>
      <c r="D11" s="48" t="s">
        <v>171</v>
      </c>
      <c r="E11" s="49" t="s">
        <v>42</v>
      </c>
      <c r="F11" s="66"/>
      <c r="G11" s="62">
        <f>G12</f>
        <v>3517.2</v>
      </c>
      <c r="J11" s="333"/>
      <c r="K11" s="333"/>
      <c r="Q11" s="334"/>
      <c r="R11" s="333">
        <f>G11+G27</f>
        <v>47945.2</v>
      </c>
      <c r="S11" s="34" t="s">
        <v>612</v>
      </c>
      <c r="T11" s="333">
        <f>G11+G27+G216+G258+G262+G448+G506+G819+G823+G832+G769</f>
        <v>128841.99999999997</v>
      </c>
      <c r="V11" s="333">
        <f>G11+G27+G216+G258+G262+G448+G506+G769+G819+G823+G832</f>
        <v>128841.99999999997</v>
      </c>
      <c r="W11" s="62">
        <f t="shared" si="1"/>
        <v>3517.2</v>
      </c>
      <c r="X11" s="62">
        <f t="shared" si="1"/>
        <v>0</v>
      </c>
    </row>
    <row r="12" spans="1:24" ht="47.25">
      <c r="A12" s="236" t="s">
        <v>116</v>
      </c>
      <c r="B12" s="51"/>
      <c r="C12" s="48" t="s">
        <v>157</v>
      </c>
      <c r="D12" s="48" t="s">
        <v>171</v>
      </c>
      <c r="E12" s="49" t="s">
        <v>42</v>
      </c>
      <c r="F12" s="56" t="s">
        <v>198</v>
      </c>
      <c r="G12" s="62">
        <f>G13</f>
        <v>3517.2</v>
      </c>
      <c r="J12" s="333"/>
      <c r="R12" s="333">
        <f>G216</f>
        <v>13524.800000000001</v>
      </c>
      <c r="S12" s="34" t="s">
        <v>613</v>
      </c>
      <c r="W12" s="62">
        <f t="shared" si="1"/>
        <v>3517.2</v>
      </c>
      <c r="X12" s="62">
        <f t="shared" si="1"/>
        <v>0</v>
      </c>
    </row>
    <row r="13" spans="1:24" ht="15.75">
      <c r="A13" s="237" t="s">
        <v>193</v>
      </c>
      <c r="B13" s="51"/>
      <c r="C13" s="48" t="s">
        <v>157</v>
      </c>
      <c r="D13" s="48" t="s">
        <v>171</v>
      </c>
      <c r="E13" s="49" t="s">
        <v>42</v>
      </c>
      <c r="F13" s="56" t="s">
        <v>194</v>
      </c>
      <c r="G13" s="62">
        <v>3517.2</v>
      </c>
      <c r="J13" s="333"/>
      <c r="R13" s="333">
        <f>G258+G262</f>
        <v>6475.7</v>
      </c>
      <c r="S13" s="34" t="s">
        <v>614</v>
      </c>
      <c r="W13" s="62">
        <v>3517.2</v>
      </c>
      <c r="X13" s="62">
        <f>G13-W13</f>
        <v>0</v>
      </c>
    </row>
    <row r="14" spans="1:24" ht="31.5">
      <c r="A14" s="234" t="s">
        <v>205</v>
      </c>
      <c r="B14" s="47"/>
      <c r="C14" s="45" t="s">
        <v>157</v>
      </c>
      <c r="D14" s="45" t="s">
        <v>170</v>
      </c>
      <c r="E14" s="52" t="s">
        <v>175</v>
      </c>
      <c r="F14" s="57"/>
      <c r="G14" s="58">
        <f>G15+G26+G22</f>
        <v>48979.299999999996</v>
      </c>
      <c r="Q14" s="334">
        <f>G14+G504+G747+G830</f>
        <v>82721.75</v>
      </c>
      <c r="R14" s="333"/>
      <c r="U14" s="333">
        <f>G14+G504+G747+G830</f>
        <v>82721.75</v>
      </c>
      <c r="W14" s="58">
        <f>W15+W26+W22</f>
        <v>48979.25</v>
      </c>
      <c r="X14" s="58">
        <f>X15+X26+X22</f>
        <v>0.049999999995634425</v>
      </c>
    </row>
    <row r="15" spans="1:25" s="16" customFormat="1" ht="31.5">
      <c r="A15" s="234" t="s">
        <v>474</v>
      </c>
      <c r="B15" s="51"/>
      <c r="C15" s="45" t="s">
        <v>157</v>
      </c>
      <c r="D15" s="45" t="s">
        <v>170</v>
      </c>
      <c r="E15" s="52" t="s">
        <v>43</v>
      </c>
      <c r="F15" s="57"/>
      <c r="G15" s="58">
        <f>G16+G19</f>
        <v>1175.5</v>
      </c>
      <c r="H15" s="293"/>
      <c r="I15" s="293"/>
      <c r="J15" s="335"/>
      <c r="K15" s="293"/>
      <c r="L15" s="293"/>
      <c r="M15" s="293"/>
      <c r="N15" s="293"/>
      <c r="O15" s="293"/>
      <c r="P15" s="293"/>
      <c r="Q15" s="222"/>
      <c r="R15" s="293"/>
      <c r="S15" s="293"/>
      <c r="T15" s="293"/>
      <c r="U15" s="293"/>
      <c r="V15" s="293"/>
      <c r="W15" s="58">
        <f>W16+W19</f>
        <v>1175.5</v>
      </c>
      <c r="X15" s="58">
        <f>X16+X19</f>
        <v>0</v>
      </c>
      <c r="Y15" s="306"/>
    </row>
    <row r="16" spans="1:24" ht="15.75">
      <c r="A16" s="235" t="s">
        <v>115</v>
      </c>
      <c r="B16" s="47"/>
      <c r="C16" s="48" t="s">
        <v>157</v>
      </c>
      <c r="D16" s="48" t="s">
        <v>170</v>
      </c>
      <c r="E16" s="49" t="s">
        <v>44</v>
      </c>
      <c r="F16" s="56"/>
      <c r="G16" s="62">
        <f>G17</f>
        <v>1140</v>
      </c>
      <c r="J16" s="333"/>
      <c r="W16" s="62">
        <f>W17</f>
        <v>1140</v>
      </c>
      <c r="X16" s="62">
        <f>X17</f>
        <v>0</v>
      </c>
    </row>
    <row r="17" spans="1:24" ht="15.75">
      <c r="A17" s="237" t="s">
        <v>226</v>
      </c>
      <c r="B17" s="47"/>
      <c r="C17" s="48" t="s">
        <v>157</v>
      </c>
      <c r="D17" s="48" t="s">
        <v>170</v>
      </c>
      <c r="E17" s="49" t="s">
        <v>44</v>
      </c>
      <c r="F17" s="56" t="s">
        <v>188</v>
      </c>
      <c r="G17" s="62">
        <f>SUM(G18)</f>
        <v>1140</v>
      </c>
      <c r="W17" s="62">
        <f>SUM(W18)</f>
        <v>1140</v>
      </c>
      <c r="X17" s="62">
        <f>SUM(X18)</f>
        <v>0</v>
      </c>
    </row>
    <row r="18" spans="1:24" ht="15.75">
      <c r="A18" s="237" t="s">
        <v>189</v>
      </c>
      <c r="B18" s="47"/>
      <c r="C18" s="48" t="s">
        <v>157</v>
      </c>
      <c r="D18" s="48" t="s">
        <v>170</v>
      </c>
      <c r="E18" s="49" t="s">
        <v>44</v>
      </c>
      <c r="F18" s="56" t="s">
        <v>187</v>
      </c>
      <c r="G18" s="62">
        <v>1140</v>
      </c>
      <c r="I18" s="384"/>
      <c r="J18" s="384"/>
      <c r="W18" s="62">
        <v>1140</v>
      </c>
      <c r="X18" s="62">
        <f>G18-W18</f>
        <v>0</v>
      </c>
    </row>
    <row r="19" spans="1:24" ht="15.75">
      <c r="A19" s="238" t="s">
        <v>117</v>
      </c>
      <c r="B19" s="47"/>
      <c r="C19" s="48" t="s">
        <v>157</v>
      </c>
      <c r="D19" s="48" t="s">
        <v>170</v>
      </c>
      <c r="E19" s="75" t="s">
        <v>45</v>
      </c>
      <c r="F19" s="56"/>
      <c r="G19" s="62">
        <f>G20</f>
        <v>35.5</v>
      </c>
      <c r="I19" s="333"/>
      <c r="W19" s="62">
        <f>W20</f>
        <v>35.5</v>
      </c>
      <c r="X19" s="62">
        <f>X20</f>
        <v>0</v>
      </c>
    </row>
    <row r="20" spans="1:24" ht="15.75">
      <c r="A20" s="237" t="s">
        <v>226</v>
      </c>
      <c r="B20" s="47"/>
      <c r="C20" s="48" t="s">
        <v>157</v>
      </c>
      <c r="D20" s="48" t="s">
        <v>170</v>
      </c>
      <c r="E20" s="75" t="s">
        <v>45</v>
      </c>
      <c r="F20" s="56" t="s">
        <v>188</v>
      </c>
      <c r="G20" s="62">
        <f>G21</f>
        <v>35.5</v>
      </c>
      <c r="I20" s="384"/>
      <c r="J20" s="384"/>
      <c r="W20" s="62">
        <f>W21</f>
        <v>35.5</v>
      </c>
      <c r="X20" s="62">
        <f>X21</f>
        <v>0</v>
      </c>
    </row>
    <row r="21" spans="1:24" ht="15.75">
      <c r="A21" s="237" t="s">
        <v>189</v>
      </c>
      <c r="B21" s="55"/>
      <c r="C21" s="48" t="s">
        <v>157</v>
      </c>
      <c r="D21" s="48" t="s">
        <v>170</v>
      </c>
      <c r="E21" s="75" t="s">
        <v>45</v>
      </c>
      <c r="F21" s="56" t="s">
        <v>187</v>
      </c>
      <c r="G21" s="62">
        <v>35.5</v>
      </c>
      <c r="I21" s="333"/>
      <c r="W21" s="62">
        <v>35.5</v>
      </c>
      <c r="X21" s="62">
        <f>G21-W21</f>
        <v>0</v>
      </c>
    </row>
    <row r="22" spans="1:24" ht="27" customHeight="1">
      <c r="A22" s="239" t="s">
        <v>437</v>
      </c>
      <c r="B22" s="54"/>
      <c r="C22" s="45" t="s">
        <v>157</v>
      </c>
      <c r="D22" s="45" t="s">
        <v>170</v>
      </c>
      <c r="E22" s="52" t="s">
        <v>13</v>
      </c>
      <c r="F22" s="57"/>
      <c r="G22" s="58">
        <f>G23</f>
        <v>35</v>
      </c>
      <c r="I22" s="384"/>
      <c r="J22" s="384"/>
      <c r="W22" s="58">
        <f aca="true" t="shared" si="2" ref="W22:X24">W23</f>
        <v>35</v>
      </c>
      <c r="X22" s="58">
        <f t="shared" si="2"/>
        <v>0</v>
      </c>
    </row>
    <row r="23" spans="1:24" ht="15.75">
      <c r="A23" s="238" t="s">
        <v>122</v>
      </c>
      <c r="B23" s="47"/>
      <c r="C23" s="48" t="s">
        <v>157</v>
      </c>
      <c r="D23" s="48" t="s">
        <v>170</v>
      </c>
      <c r="E23" s="75" t="s">
        <v>277</v>
      </c>
      <c r="F23" s="56"/>
      <c r="G23" s="62">
        <f>G24</f>
        <v>35</v>
      </c>
      <c r="I23" s="333"/>
      <c r="W23" s="62">
        <f t="shared" si="2"/>
        <v>35</v>
      </c>
      <c r="X23" s="62">
        <f t="shared" si="2"/>
        <v>0</v>
      </c>
    </row>
    <row r="24" spans="1:24" ht="15.75">
      <c r="A24" s="237" t="s">
        <v>226</v>
      </c>
      <c r="B24" s="47"/>
      <c r="C24" s="48" t="s">
        <v>157</v>
      </c>
      <c r="D24" s="48" t="s">
        <v>170</v>
      </c>
      <c r="E24" s="75" t="s">
        <v>277</v>
      </c>
      <c r="F24" s="56" t="s">
        <v>188</v>
      </c>
      <c r="G24" s="62">
        <f>G25</f>
        <v>35</v>
      </c>
      <c r="I24" s="384"/>
      <c r="J24" s="384"/>
      <c r="W24" s="62">
        <f t="shared" si="2"/>
        <v>35</v>
      </c>
      <c r="X24" s="62">
        <f t="shared" si="2"/>
        <v>0</v>
      </c>
    </row>
    <row r="25" spans="1:24" ht="15.75">
      <c r="A25" s="237" t="s">
        <v>189</v>
      </c>
      <c r="B25" s="55"/>
      <c r="C25" s="48" t="s">
        <v>157</v>
      </c>
      <c r="D25" s="48" t="s">
        <v>170</v>
      </c>
      <c r="E25" s="75" t="s">
        <v>277</v>
      </c>
      <c r="F25" s="56" t="s">
        <v>187</v>
      </c>
      <c r="G25" s="62">
        <v>35</v>
      </c>
      <c r="I25" s="333"/>
      <c r="W25" s="62">
        <v>35</v>
      </c>
      <c r="X25" s="62">
        <f>G25-W25</f>
        <v>0</v>
      </c>
    </row>
    <row r="26" spans="1:24" ht="31.5">
      <c r="A26" s="234" t="s">
        <v>461</v>
      </c>
      <c r="B26" s="51"/>
      <c r="C26" s="45" t="s">
        <v>157</v>
      </c>
      <c r="D26" s="45" t="s">
        <v>170</v>
      </c>
      <c r="E26" s="52" t="s">
        <v>41</v>
      </c>
      <c r="F26" s="57"/>
      <c r="G26" s="58">
        <f>G27+G32+G42+G45+G37</f>
        <v>47768.799999999996</v>
      </c>
      <c r="H26" s="34">
        <v>30436.4</v>
      </c>
      <c r="I26" s="333"/>
      <c r="W26" s="58">
        <f>W27+W32+W42+W45+W37</f>
        <v>47768.75</v>
      </c>
      <c r="X26" s="58">
        <f>X27+X32+X42+X45+X37</f>
        <v>0.049999999995634425</v>
      </c>
    </row>
    <row r="27" spans="1:24" ht="15.75">
      <c r="A27" s="235" t="s">
        <v>115</v>
      </c>
      <c r="B27" s="51"/>
      <c r="C27" s="48" t="s">
        <v>157</v>
      </c>
      <c r="D27" s="48" t="s">
        <v>170</v>
      </c>
      <c r="E27" s="49" t="s">
        <v>42</v>
      </c>
      <c r="F27" s="56"/>
      <c r="G27" s="62">
        <f>G28+G30</f>
        <v>44428</v>
      </c>
      <c r="R27" s="333">
        <f>G448</f>
        <v>15892.4</v>
      </c>
      <c r="S27" s="34" t="s">
        <v>615</v>
      </c>
      <c r="W27" s="62">
        <f>W28+W30</f>
        <v>44427.950000000004</v>
      </c>
      <c r="X27" s="62">
        <f>X28+X30</f>
        <v>0.049999999995634425</v>
      </c>
    </row>
    <row r="28" spans="1:24" ht="47.25">
      <c r="A28" s="237" t="s">
        <v>116</v>
      </c>
      <c r="B28" s="51"/>
      <c r="C28" s="48" t="s">
        <v>157</v>
      </c>
      <c r="D28" s="48" t="s">
        <v>170</v>
      </c>
      <c r="E28" s="49" t="s">
        <v>42</v>
      </c>
      <c r="F28" s="56" t="s">
        <v>198</v>
      </c>
      <c r="G28" s="62">
        <f>G29</f>
        <v>43670.7</v>
      </c>
      <c r="R28" s="333">
        <f>G506</f>
        <v>10234.4</v>
      </c>
      <c r="S28" s="34" t="s">
        <v>616</v>
      </c>
      <c r="W28" s="62">
        <f>W29</f>
        <v>43670.65</v>
      </c>
      <c r="X28" s="62">
        <f>X29</f>
        <v>0.049999999995634425</v>
      </c>
    </row>
    <row r="29" spans="1:24" ht="15.75">
      <c r="A29" s="237" t="s">
        <v>193</v>
      </c>
      <c r="B29" s="55"/>
      <c r="C29" s="48" t="s">
        <v>157</v>
      </c>
      <c r="D29" s="48" t="s">
        <v>170</v>
      </c>
      <c r="E29" s="49" t="s">
        <v>42</v>
      </c>
      <c r="F29" s="56" t="s">
        <v>194</v>
      </c>
      <c r="G29" s="62">
        <v>43670.7</v>
      </c>
      <c r="R29" s="333">
        <f>G769</f>
        <v>14603.4</v>
      </c>
      <c r="S29" s="34" t="s">
        <v>617</v>
      </c>
      <c r="W29" s="62">
        <f>44053.35-382.7</f>
        <v>43670.65</v>
      </c>
      <c r="X29" s="62">
        <f>G29-W29</f>
        <v>0.049999999995634425</v>
      </c>
    </row>
    <row r="30" spans="1:24" ht="15.75">
      <c r="A30" s="237" t="s">
        <v>226</v>
      </c>
      <c r="B30" s="55"/>
      <c r="C30" s="48" t="s">
        <v>157</v>
      </c>
      <c r="D30" s="48" t="s">
        <v>170</v>
      </c>
      <c r="E30" s="49" t="s">
        <v>42</v>
      </c>
      <c r="F30" s="56" t="s">
        <v>188</v>
      </c>
      <c r="G30" s="62">
        <f>G31</f>
        <v>757.3</v>
      </c>
      <c r="R30" s="333">
        <f>G819+G823</f>
        <v>2639.3</v>
      </c>
      <c r="S30" s="34" t="s">
        <v>618</v>
      </c>
      <c r="W30" s="62">
        <f>W31</f>
        <v>757.3</v>
      </c>
      <c r="X30" s="62">
        <f>X31</f>
        <v>0</v>
      </c>
    </row>
    <row r="31" spans="1:24" ht="15.75">
      <c r="A31" s="237" t="s">
        <v>189</v>
      </c>
      <c r="B31" s="55"/>
      <c r="C31" s="48" t="s">
        <v>157</v>
      </c>
      <c r="D31" s="48" t="s">
        <v>170</v>
      </c>
      <c r="E31" s="49" t="s">
        <v>42</v>
      </c>
      <c r="F31" s="56" t="s">
        <v>187</v>
      </c>
      <c r="G31" s="62">
        <v>757.3</v>
      </c>
      <c r="R31" s="333">
        <f>G832</f>
        <v>17526.8</v>
      </c>
      <c r="S31" s="34" t="s">
        <v>619</v>
      </c>
      <c r="W31" s="62">
        <v>757.3</v>
      </c>
      <c r="X31" s="62">
        <f>G31-W31</f>
        <v>0</v>
      </c>
    </row>
    <row r="32" spans="1:24" ht="31.5">
      <c r="A32" s="310" t="s">
        <v>119</v>
      </c>
      <c r="B32" s="51"/>
      <c r="C32" s="48" t="s">
        <v>157</v>
      </c>
      <c r="D32" s="48" t="s">
        <v>170</v>
      </c>
      <c r="E32" s="49" t="s">
        <v>260</v>
      </c>
      <c r="F32" s="56"/>
      <c r="G32" s="62">
        <f>G33+G35</f>
        <v>1880.75</v>
      </c>
      <c r="W32" s="62">
        <f>W33+W35</f>
        <v>1880.75</v>
      </c>
      <c r="X32" s="62">
        <f>X33+X35</f>
        <v>0</v>
      </c>
    </row>
    <row r="33" spans="1:24" ht="47.25">
      <c r="A33" s="237" t="s">
        <v>116</v>
      </c>
      <c r="B33" s="51"/>
      <c r="C33" s="48" t="s">
        <v>157</v>
      </c>
      <c r="D33" s="48" t="s">
        <v>170</v>
      </c>
      <c r="E33" s="49" t="s">
        <v>260</v>
      </c>
      <c r="F33" s="56" t="s">
        <v>198</v>
      </c>
      <c r="G33" s="62">
        <f>G34</f>
        <v>1740.75</v>
      </c>
      <c r="W33" s="62">
        <f>W34</f>
        <v>1740.75</v>
      </c>
      <c r="X33" s="62">
        <f>X34</f>
        <v>0</v>
      </c>
    </row>
    <row r="34" spans="1:24" ht="15.75">
      <c r="A34" s="237" t="s">
        <v>193</v>
      </c>
      <c r="B34" s="55"/>
      <c r="C34" s="48" t="s">
        <v>157</v>
      </c>
      <c r="D34" s="48" t="s">
        <v>170</v>
      </c>
      <c r="E34" s="49" t="s">
        <v>260</v>
      </c>
      <c r="F34" s="56" t="s">
        <v>194</v>
      </c>
      <c r="G34" s="62">
        <f>1601.15+139.6</f>
        <v>1740.75</v>
      </c>
      <c r="W34" s="62">
        <f>1601.15+139.6</f>
        <v>1740.75</v>
      </c>
      <c r="X34" s="62">
        <f>G34-W34</f>
        <v>0</v>
      </c>
    </row>
    <row r="35" spans="1:24" ht="15.75">
      <c r="A35" s="237" t="s">
        <v>226</v>
      </c>
      <c r="B35" s="55"/>
      <c r="C35" s="48" t="s">
        <v>157</v>
      </c>
      <c r="D35" s="48" t="s">
        <v>170</v>
      </c>
      <c r="E35" s="49" t="s">
        <v>260</v>
      </c>
      <c r="F35" s="56" t="s">
        <v>188</v>
      </c>
      <c r="G35" s="62">
        <f>G36</f>
        <v>140</v>
      </c>
      <c r="W35" s="62">
        <f>W36</f>
        <v>140</v>
      </c>
      <c r="X35" s="62">
        <f>X36</f>
        <v>0</v>
      </c>
    </row>
    <row r="36" spans="1:24" ht="26.25" customHeight="1">
      <c r="A36" s="237" t="s">
        <v>189</v>
      </c>
      <c r="B36" s="55"/>
      <c r="C36" s="48" t="s">
        <v>157</v>
      </c>
      <c r="D36" s="48" t="s">
        <v>170</v>
      </c>
      <c r="E36" s="49" t="s">
        <v>260</v>
      </c>
      <c r="F36" s="56" t="s">
        <v>187</v>
      </c>
      <c r="G36" s="62">
        <v>140</v>
      </c>
      <c r="W36" s="62">
        <v>140</v>
      </c>
      <c r="X36" s="62">
        <f>G36-W36</f>
        <v>0</v>
      </c>
    </row>
    <row r="37" spans="1:24" ht="15.75">
      <c r="A37" s="238" t="s">
        <v>99</v>
      </c>
      <c r="B37" s="47"/>
      <c r="C37" s="48" t="s">
        <v>157</v>
      </c>
      <c r="D37" s="48" t="s">
        <v>170</v>
      </c>
      <c r="E37" s="75" t="s">
        <v>340</v>
      </c>
      <c r="F37" s="56"/>
      <c r="G37" s="62">
        <f>G38+G40</f>
        <v>975.6</v>
      </c>
      <c r="W37" s="62">
        <f>W38+W40</f>
        <v>975.6</v>
      </c>
      <c r="X37" s="62">
        <f>X38+X40</f>
        <v>0</v>
      </c>
    </row>
    <row r="38" spans="1:24" ht="47.25">
      <c r="A38" s="237" t="s">
        <v>116</v>
      </c>
      <c r="B38" s="47"/>
      <c r="C38" s="48" t="s">
        <v>157</v>
      </c>
      <c r="D38" s="48" t="s">
        <v>170</v>
      </c>
      <c r="E38" s="75" t="s">
        <v>340</v>
      </c>
      <c r="F38" s="56" t="s">
        <v>198</v>
      </c>
      <c r="G38" s="62">
        <f>G39</f>
        <v>800.6</v>
      </c>
      <c r="W38" s="62">
        <f>W39</f>
        <v>800.6</v>
      </c>
      <c r="X38" s="62">
        <f>X39</f>
        <v>0</v>
      </c>
    </row>
    <row r="39" spans="1:24" ht="15.75">
      <c r="A39" s="237" t="s">
        <v>193</v>
      </c>
      <c r="B39" s="47"/>
      <c r="C39" s="48" t="s">
        <v>157</v>
      </c>
      <c r="D39" s="48" t="s">
        <v>170</v>
      </c>
      <c r="E39" s="75" t="s">
        <v>340</v>
      </c>
      <c r="F39" s="56" t="s">
        <v>194</v>
      </c>
      <c r="G39" s="62">
        <v>800.6</v>
      </c>
      <c r="W39" s="62">
        <v>800.6</v>
      </c>
      <c r="X39" s="62">
        <f>G39-W39</f>
        <v>0</v>
      </c>
    </row>
    <row r="40" spans="1:24" ht="15.75">
      <c r="A40" s="237" t="s">
        <v>226</v>
      </c>
      <c r="B40" s="47"/>
      <c r="C40" s="48" t="s">
        <v>157</v>
      </c>
      <c r="D40" s="48" t="s">
        <v>170</v>
      </c>
      <c r="E40" s="75" t="s">
        <v>340</v>
      </c>
      <c r="F40" s="56" t="s">
        <v>188</v>
      </c>
      <c r="G40" s="62">
        <f>G41</f>
        <v>175</v>
      </c>
      <c r="W40" s="62">
        <f>W41</f>
        <v>175</v>
      </c>
      <c r="X40" s="62">
        <f>X41</f>
        <v>0</v>
      </c>
    </row>
    <row r="41" spans="1:24" ht="15.75">
      <c r="A41" s="237" t="s">
        <v>189</v>
      </c>
      <c r="B41" s="55"/>
      <c r="C41" s="48" t="s">
        <v>157</v>
      </c>
      <c r="D41" s="48" t="s">
        <v>170</v>
      </c>
      <c r="E41" s="75" t="s">
        <v>340</v>
      </c>
      <c r="F41" s="56" t="s">
        <v>187</v>
      </c>
      <c r="G41" s="62">
        <v>175</v>
      </c>
      <c r="W41" s="62">
        <v>175</v>
      </c>
      <c r="X41" s="62">
        <f>G41-W41</f>
        <v>0</v>
      </c>
    </row>
    <row r="42" spans="1:24" ht="47.25">
      <c r="A42" s="237" t="s">
        <v>120</v>
      </c>
      <c r="B42" s="47"/>
      <c r="C42" s="48" t="s">
        <v>157</v>
      </c>
      <c r="D42" s="48" t="s">
        <v>170</v>
      </c>
      <c r="E42" s="75" t="s">
        <v>46</v>
      </c>
      <c r="F42" s="56"/>
      <c r="G42" s="62">
        <f>G43</f>
        <v>7</v>
      </c>
      <c r="W42" s="62">
        <f>W43</f>
        <v>7</v>
      </c>
      <c r="X42" s="62">
        <f>X43</f>
        <v>0</v>
      </c>
    </row>
    <row r="43" spans="1:24" ht="15.75">
      <c r="A43" s="237" t="s">
        <v>226</v>
      </c>
      <c r="B43" s="47"/>
      <c r="C43" s="48" t="s">
        <v>157</v>
      </c>
      <c r="D43" s="48" t="s">
        <v>170</v>
      </c>
      <c r="E43" s="75" t="s">
        <v>46</v>
      </c>
      <c r="F43" s="56" t="s">
        <v>188</v>
      </c>
      <c r="G43" s="62">
        <f>G44</f>
        <v>7</v>
      </c>
      <c r="W43" s="62">
        <f>W44</f>
        <v>7</v>
      </c>
      <c r="X43" s="62">
        <f>X44</f>
        <v>0</v>
      </c>
    </row>
    <row r="44" spans="1:24" ht="15.75">
      <c r="A44" s="237" t="s">
        <v>189</v>
      </c>
      <c r="B44" s="55"/>
      <c r="C44" s="48" t="s">
        <v>157</v>
      </c>
      <c r="D44" s="48" t="s">
        <v>170</v>
      </c>
      <c r="E44" s="75" t="s">
        <v>46</v>
      </c>
      <c r="F44" s="56" t="s">
        <v>187</v>
      </c>
      <c r="G44" s="62">
        <v>7</v>
      </c>
      <c r="W44" s="62">
        <v>7</v>
      </c>
      <c r="X44" s="62">
        <f>G44-W44</f>
        <v>0</v>
      </c>
    </row>
    <row r="45" spans="1:24" ht="15.75">
      <c r="A45" s="310" t="s">
        <v>118</v>
      </c>
      <c r="B45" s="51"/>
      <c r="C45" s="48" t="s">
        <v>157</v>
      </c>
      <c r="D45" s="48" t="s">
        <v>170</v>
      </c>
      <c r="E45" s="49" t="s">
        <v>47</v>
      </c>
      <c r="F45" s="56"/>
      <c r="G45" s="62">
        <f>G46+G48</f>
        <v>477.45</v>
      </c>
      <c r="W45" s="62">
        <f>W46+W48</f>
        <v>477.45</v>
      </c>
      <c r="X45" s="62">
        <f>X46+X48</f>
        <v>0</v>
      </c>
    </row>
    <row r="46" spans="1:24" ht="47.25">
      <c r="A46" s="237" t="s">
        <v>116</v>
      </c>
      <c r="B46" s="51"/>
      <c r="C46" s="48" t="s">
        <v>157</v>
      </c>
      <c r="D46" s="48" t="s">
        <v>170</v>
      </c>
      <c r="E46" s="49" t="s">
        <v>47</v>
      </c>
      <c r="F46" s="56" t="s">
        <v>198</v>
      </c>
      <c r="G46" s="62">
        <f>G47</f>
        <v>442.45</v>
      </c>
      <c r="W46" s="62">
        <f>W47</f>
        <v>442.45</v>
      </c>
      <c r="X46" s="62">
        <f>X47</f>
        <v>0</v>
      </c>
    </row>
    <row r="47" spans="1:24" ht="15.75">
      <c r="A47" s="237" t="s">
        <v>193</v>
      </c>
      <c r="B47" s="55"/>
      <c r="C47" s="48" t="s">
        <v>157</v>
      </c>
      <c r="D47" s="48" t="s">
        <v>170</v>
      </c>
      <c r="E47" s="49" t="s">
        <v>47</v>
      </c>
      <c r="F47" s="56" t="s">
        <v>194</v>
      </c>
      <c r="G47" s="62">
        <f>400.25+42.2</f>
        <v>442.45</v>
      </c>
      <c r="W47" s="62">
        <f>400.25+42.2</f>
        <v>442.45</v>
      </c>
      <c r="X47" s="62">
        <f>G47-W47</f>
        <v>0</v>
      </c>
    </row>
    <row r="48" spans="1:24" ht="15.75">
      <c r="A48" s="237" t="s">
        <v>226</v>
      </c>
      <c r="B48" s="55"/>
      <c r="C48" s="48" t="s">
        <v>157</v>
      </c>
      <c r="D48" s="48" t="s">
        <v>170</v>
      </c>
      <c r="E48" s="49" t="s">
        <v>47</v>
      </c>
      <c r="F48" s="56" t="s">
        <v>188</v>
      </c>
      <c r="G48" s="62">
        <f>G49</f>
        <v>35</v>
      </c>
      <c r="W48" s="62">
        <f>W49</f>
        <v>35</v>
      </c>
      <c r="X48" s="62">
        <f>X49</f>
        <v>0</v>
      </c>
    </row>
    <row r="49" spans="1:24" ht="15.75">
      <c r="A49" s="237" t="s">
        <v>189</v>
      </c>
      <c r="B49" s="55"/>
      <c r="C49" s="48" t="s">
        <v>157</v>
      </c>
      <c r="D49" s="48" t="s">
        <v>170</v>
      </c>
      <c r="E49" s="49" t="s">
        <v>47</v>
      </c>
      <c r="F49" s="56" t="s">
        <v>187</v>
      </c>
      <c r="G49" s="62">
        <v>35</v>
      </c>
      <c r="Q49" s="334"/>
      <c r="W49" s="62">
        <v>35</v>
      </c>
      <c r="X49" s="62">
        <f>G49-W49</f>
        <v>0</v>
      </c>
    </row>
    <row r="50" spans="1:24" ht="15.75">
      <c r="A50" s="239" t="s">
        <v>246</v>
      </c>
      <c r="B50" s="55"/>
      <c r="C50" s="45" t="s">
        <v>157</v>
      </c>
      <c r="D50" s="45" t="s">
        <v>172</v>
      </c>
      <c r="E50" s="52"/>
      <c r="F50" s="57"/>
      <c r="G50" s="58">
        <f>G51</f>
        <v>1.3</v>
      </c>
      <c r="W50" s="58">
        <f aca="true" t="shared" si="3" ref="W50:X53">W51</f>
        <v>1.3</v>
      </c>
      <c r="X50" s="58">
        <f t="shared" si="3"/>
        <v>0</v>
      </c>
    </row>
    <row r="51" spans="1:24" ht="31.5">
      <c r="A51" s="234" t="s">
        <v>461</v>
      </c>
      <c r="B51" s="55"/>
      <c r="C51" s="45" t="s">
        <v>157</v>
      </c>
      <c r="D51" s="45" t="s">
        <v>172</v>
      </c>
      <c r="E51" s="52" t="s">
        <v>41</v>
      </c>
      <c r="F51" s="57"/>
      <c r="G51" s="58">
        <f>G52</f>
        <v>1.3</v>
      </c>
      <c r="W51" s="58">
        <f t="shared" si="3"/>
        <v>1.3</v>
      </c>
      <c r="X51" s="58">
        <f t="shared" si="3"/>
        <v>0</v>
      </c>
    </row>
    <row r="52" spans="1:24" ht="31.5">
      <c r="A52" s="240" t="s">
        <v>247</v>
      </c>
      <c r="B52" s="55"/>
      <c r="C52" s="48" t="s">
        <v>157</v>
      </c>
      <c r="D52" s="48" t="s">
        <v>172</v>
      </c>
      <c r="E52" s="49" t="s">
        <v>248</v>
      </c>
      <c r="F52" s="56"/>
      <c r="G52" s="62">
        <f>G53</f>
        <v>1.3</v>
      </c>
      <c r="W52" s="62">
        <f t="shared" si="3"/>
        <v>1.3</v>
      </c>
      <c r="X52" s="62">
        <f t="shared" si="3"/>
        <v>0</v>
      </c>
    </row>
    <row r="53" spans="1:24" ht="15.75">
      <c r="A53" s="237" t="s">
        <v>226</v>
      </c>
      <c r="B53" s="55"/>
      <c r="C53" s="48" t="s">
        <v>157</v>
      </c>
      <c r="D53" s="48" t="s">
        <v>172</v>
      </c>
      <c r="E53" s="49" t="s">
        <v>248</v>
      </c>
      <c r="F53" s="56" t="s">
        <v>188</v>
      </c>
      <c r="G53" s="62">
        <f>G54</f>
        <v>1.3</v>
      </c>
      <c r="W53" s="62">
        <f t="shared" si="3"/>
        <v>1.3</v>
      </c>
      <c r="X53" s="62">
        <f t="shared" si="3"/>
        <v>0</v>
      </c>
    </row>
    <row r="54" spans="1:24" ht="15.75">
      <c r="A54" s="237" t="s">
        <v>189</v>
      </c>
      <c r="B54" s="55"/>
      <c r="C54" s="48" t="s">
        <v>157</v>
      </c>
      <c r="D54" s="48" t="s">
        <v>172</v>
      </c>
      <c r="E54" s="49" t="s">
        <v>248</v>
      </c>
      <c r="F54" s="56" t="s">
        <v>187</v>
      </c>
      <c r="G54" s="62">
        <v>1.3</v>
      </c>
      <c r="W54" s="62">
        <v>1.3</v>
      </c>
      <c r="X54" s="62">
        <f>G54-W54</f>
        <v>0</v>
      </c>
    </row>
    <row r="55" spans="1:24" ht="15.75">
      <c r="A55" s="234" t="s">
        <v>142</v>
      </c>
      <c r="B55" s="55"/>
      <c r="C55" s="45" t="s">
        <v>157</v>
      </c>
      <c r="D55" s="45" t="s">
        <v>123</v>
      </c>
      <c r="E55" s="52" t="s">
        <v>175</v>
      </c>
      <c r="F55" s="57" t="s">
        <v>175</v>
      </c>
      <c r="G55" s="58">
        <f>G63+G97+G93+G56+G110</f>
        <v>38366.664</v>
      </c>
      <c r="Q55" s="334">
        <f>G55+G230+G511+G754+G767</f>
        <v>118787.46399999999</v>
      </c>
      <c r="R55" s="333">
        <f>G55+G511+G754+G767+G267+G230</f>
        <v>119507.46399999999</v>
      </c>
      <c r="W55" s="58">
        <f>W63+W97+W93+W56+W110</f>
        <v>38366.66426</v>
      </c>
      <c r="X55" s="58">
        <f>X63+X97+X93+X56+X110</f>
        <v>-0.00025999999979831045</v>
      </c>
    </row>
    <row r="56" spans="1:24" ht="31.5">
      <c r="A56" s="234" t="s">
        <v>474</v>
      </c>
      <c r="B56" s="110"/>
      <c r="C56" s="45" t="s">
        <v>157</v>
      </c>
      <c r="D56" s="45" t="s">
        <v>123</v>
      </c>
      <c r="E56" s="52" t="s">
        <v>43</v>
      </c>
      <c r="F56" s="57"/>
      <c r="G56" s="58">
        <f>G57+G60</f>
        <v>8043.7</v>
      </c>
      <c r="Q56" s="334"/>
      <c r="W56" s="58">
        <f>W57+W60</f>
        <v>8043.7</v>
      </c>
      <c r="X56" s="58">
        <f>X57+X60</f>
        <v>0</v>
      </c>
    </row>
    <row r="57" spans="1:24" ht="47.25">
      <c r="A57" s="235" t="s">
        <v>476</v>
      </c>
      <c r="B57" s="55"/>
      <c r="C57" s="48" t="s">
        <v>157</v>
      </c>
      <c r="D57" s="48" t="s">
        <v>123</v>
      </c>
      <c r="E57" s="49" t="s">
        <v>475</v>
      </c>
      <c r="F57" s="56"/>
      <c r="G57" s="58">
        <f>G58</f>
        <v>2167.7</v>
      </c>
      <c r="Q57" s="334"/>
      <c r="W57" s="58">
        <f>W58</f>
        <v>2167.7</v>
      </c>
      <c r="X57" s="58">
        <f>X58</f>
        <v>0</v>
      </c>
    </row>
    <row r="58" spans="1:24" ht="15.75">
      <c r="A58" s="235" t="s">
        <v>89</v>
      </c>
      <c r="B58" s="55"/>
      <c r="C58" s="48" t="s">
        <v>157</v>
      </c>
      <c r="D58" s="48" t="s">
        <v>123</v>
      </c>
      <c r="E58" s="49" t="s">
        <v>475</v>
      </c>
      <c r="F58" s="56" t="s">
        <v>85</v>
      </c>
      <c r="G58" s="62">
        <f>G59</f>
        <v>2167.7</v>
      </c>
      <c r="Q58" s="334"/>
      <c r="W58" s="62">
        <f>W59</f>
        <v>2167.7</v>
      </c>
      <c r="X58" s="62">
        <f>X59</f>
        <v>0</v>
      </c>
    </row>
    <row r="59" spans="1:24" ht="15.75">
      <c r="A59" s="235" t="s">
        <v>84</v>
      </c>
      <c r="B59" s="55"/>
      <c r="C59" s="48" t="s">
        <v>157</v>
      </c>
      <c r="D59" s="48" t="s">
        <v>123</v>
      </c>
      <c r="E59" s="49" t="s">
        <v>475</v>
      </c>
      <c r="F59" s="56" t="s">
        <v>86</v>
      </c>
      <c r="G59" s="62">
        <v>2167.7</v>
      </c>
      <c r="Q59" s="334"/>
      <c r="W59" s="62">
        <v>2167.7</v>
      </c>
      <c r="X59" s="62">
        <f>G59-W59</f>
        <v>0</v>
      </c>
    </row>
    <row r="60" spans="1:24" ht="47.25">
      <c r="A60" s="235" t="s">
        <v>478</v>
      </c>
      <c r="B60" s="110"/>
      <c r="C60" s="48" t="s">
        <v>157</v>
      </c>
      <c r="D60" s="48" t="s">
        <v>123</v>
      </c>
      <c r="E60" s="49" t="s">
        <v>477</v>
      </c>
      <c r="F60" s="56"/>
      <c r="G60" s="58">
        <f>G61</f>
        <v>5876</v>
      </c>
      <c r="Q60" s="334"/>
      <c r="W60" s="58">
        <f>W61</f>
        <v>5876</v>
      </c>
      <c r="X60" s="58">
        <f>X61</f>
        <v>0</v>
      </c>
    </row>
    <row r="61" spans="1:24" ht="15.75">
      <c r="A61" s="235" t="s">
        <v>89</v>
      </c>
      <c r="B61" s="110"/>
      <c r="C61" s="48" t="s">
        <v>157</v>
      </c>
      <c r="D61" s="48" t="s">
        <v>123</v>
      </c>
      <c r="E61" s="49" t="s">
        <v>477</v>
      </c>
      <c r="F61" s="56" t="s">
        <v>85</v>
      </c>
      <c r="G61" s="62">
        <f>G62</f>
        <v>5876</v>
      </c>
      <c r="Q61" s="334"/>
      <c r="W61" s="62">
        <f>W62</f>
        <v>5876</v>
      </c>
      <c r="X61" s="62">
        <f>X62</f>
        <v>0</v>
      </c>
    </row>
    <row r="62" spans="1:24" ht="15.75">
      <c r="A62" s="235" t="s">
        <v>84</v>
      </c>
      <c r="B62" s="55"/>
      <c r="C62" s="48" t="s">
        <v>157</v>
      </c>
      <c r="D62" s="48" t="s">
        <v>123</v>
      </c>
      <c r="E62" s="49" t="s">
        <v>477</v>
      </c>
      <c r="F62" s="56" t="s">
        <v>86</v>
      </c>
      <c r="G62" s="62">
        <v>5876</v>
      </c>
      <c r="Q62" s="334"/>
      <c r="W62" s="62">
        <f>5347.2+146.1+382.7</f>
        <v>5876</v>
      </c>
      <c r="X62" s="62">
        <f>G62-W62</f>
        <v>0</v>
      </c>
    </row>
    <row r="63" spans="1:24" ht="27" customHeight="1">
      <c r="A63" s="241" t="s">
        <v>460</v>
      </c>
      <c r="B63" s="135"/>
      <c r="C63" s="103" t="s">
        <v>157</v>
      </c>
      <c r="D63" s="103" t="s">
        <v>123</v>
      </c>
      <c r="E63" s="106" t="s">
        <v>52</v>
      </c>
      <c r="F63" s="107"/>
      <c r="G63" s="58">
        <f>G64+G73+G87</f>
        <v>3910.964</v>
      </c>
      <c r="W63" s="58">
        <f>W64+W73+W87</f>
        <v>3910.9642599999997</v>
      </c>
      <c r="X63" s="58">
        <f>X64+X73+X87</f>
        <v>-0.00025999999979831045</v>
      </c>
    </row>
    <row r="64" spans="1:24" ht="31.5">
      <c r="A64" s="234" t="s">
        <v>530</v>
      </c>
      <c r="B64" s="54"/>
      <c r="C64" s="45" t="s">
        <v>157</v>
      </c>
      <c r="D64" s="45" t="s">
        <v>123</v>
      </c>
      <c r="E64" s="52" t="s">
        <v>220</v>
      </c>
      <c r="F64" s="57"/>
      <c r="G64" s="58">
        <f>G65+G70</f>
        <v>2517.964</v>
      </c>
      <c r="W64" s="58">
        <f>W65+W70</f>
        <v>2517.9642599999997</v>
      </c>
      <c r="X64" s="58">
        <f>X65+X70</f>
        <v>-0.00025999999979831045</v>
      </c>
    </row>
    <row r="65" spans="1:24" ht="15.75">
      <c r="A65" s="238" t="s">
        <v>630</v>
      </c>
      <c r="B65" s="55"/>
      <c r="C65" s="48" t="s">
        <v>157</v>
      </c>
      <c r="D65" s="48" t="s">
        <v>123</v>
      </c>
      <c r="E65" s="49" t="s">
        <v>631</v>
      </c>
      <c r="F65" s="56"/>
      <c r="G65" s="62">
        <f>G66+G68</f>
        <v>64.7</v>
      </c>
      <c r="W65" s="62">
        <f>W66+W68</f>
        <v>64.7</v>
      </c>
      <c r="X65" s="62">
        <f>X66+X68</f>
        <v>0</v>
      </c>
    </row>
    <row r="66" spans="1:24" ht="47.25">
      <c r="A66" s="237" t="s">
        <v>116</v>
      </c>
      <c r="B66" s="55"/>
      <c r="C66" s="48" t="s">
        <v>157</v>
      </c>
      <c r="D66" s="48" t="s">
        <v>123</v>
      </c>
      <c r="E66" s="49" t="s">
        <v>631</v>
      </c>
      <c r="F66" s="56" t="s">
        <v>198</v>
      </c>
      <c r="G66" s="62">
        <f>G67</f>
        <v>13.2</v>
      </c>
      <c r="R66" s="333"/>
      <c r="W66" s="62">
        <f>W67</f>
        <v>13.2</v>
      </c>
      <c r="X66" s="62">
        <f>X67</f>
        <v>0</v>
      </c>
    </row>
    <row r="67" spans="1:24" ht="15.75">
      <c r="A67" s="237" t="s">
        <v>193</v>
      </c>
      <c r="B67" s="55"/>
      <c r="C67" s="48" t="s">
        <v>157</v>
      </c>
      <c r="D67" s="48" t="s">
        <v>123</v>
      </c>
      <c r="E67" s="49" t="s">
        <v>631</v>
      </c>
      <c r="F67" s="56" t="s">
        <v>194</v>
      </c>
      <c r="G67" s="62">
        <v>13.2</v>
      </c>
      <c r="W67" s="62">
        <v>13.2</v>
      </c>
      <c r="X67" s="62">
        <f>G67-W67</f>
        <v>0</v>
      </c>
    </row>
    <row r="68" spans="1:24" ht="15.75">
      <c r="A68" s="237" t="s">
        <v>226</v>
      </c>
      <c r="B68" s="55"/>
      <c r="C68" s="48" t="s">
        <v>157</v>
      </c>
      <c r="D68" s="48" t="s">
        <v>123</v>
      </c>
      <c r="E68" s="49" t="s">
        <v>631</v>
      </c>
      <c r="F68" s="56" t="s">
        <v>188</v>
      </c>
      <c r="G68" s="62">
        <f>G69</f>
        <v>51.5</v>
      </c>
      <c r="W68" s="62">
        <f>W69</f>
        <v>51.5</v>
      </c>
      <c r="X68" s="62">
        <f>X69</f>
        <v>0</v>
      </c>
    </row>
    <row r="69" spans="1:24" ht="15.75">
      <c r="A69" s="237" t="s">
        <v>189</v>
      </c>
      <c r="B69" s="55"/>
      <c r="C69" s="48" t="s">
        <v>157</v>
      </c>
      <c r="D69" s="48" t="s">
        <v>123</v>
      </c>
      <c r="E69" s="49" t="s">
        <v>631</v>
      </c>
      <c r="F69" s="56" t="s">
        <v>187</v>
      </c>
      <c r="G69" s="62">
        <v>51.5</v>
      </c>
      <c r="W69" s="62">
        <v>51.5</v>
      </c>
      <c r="X69" s="62">
        <f>G69-W69</f>
        <v>0</v>
      </c>
    </row>
    <row r="70" spans="1:24" ht="15.75">
      <c r="A70" s="34" t="s">
        <v>315</v>
      </c>
      <c r="B70" s="55"/>
      <c r="C70" s="48" t="s">
        <v>157</v>
      </c>
      <c r="D70" s="48" t="s">
        <v>123</v>
      </c>
      <c r="E70" s="49" t="s">
        <v>273</v>
      </c>
      <c r="F70" s="56"/>
      <c r="G70" s="62">
        <f>G71</f>
        <v>2453.264</v>
      </c>
      <c r="W70" s="62">
        <f>W71</f>
        <v>2453.26426</v>
      </c>
      <c r="X70" s="62">
        <f>X71</f>
        <v>-0.00025999999979831045</v>
      </c>
    </row>
    <row r="71" spans="1:24" ht="15.75">
      <c r="A71" s="237" t="s">
        <v>226</v>
      </c>
      <c r="B71" s="55"/>
      <c r="C71" s="48" t="s">
        <v>157</v>
      </c>
      <c r="D71" s="48" t="s">
        <v>123</v>
      </c>
      <c r="E71" s="49" t="s">
        <v>273</v>
      </c>
      <c r="F71" s="56" t="s">
        <v>188</v>
      </c>
      <c r="G71" s="62">
        <f>G72</f>
        <v>2453.264</v>
      </c>
      <c r="W71" s="62">
        <f>W72</f>
        <v>2453.26426</v>
      </c>
      <c r="X71" s="62">
        <f>X72</f>
        <v>-0.00025999999979831045</v>
      </c>
    </row>
    <row r="72" spans="1:24" ht="15.75">
      <c r="A72" s="237" t="s">
        <v>189</v>
      </c>
      <c r="B72" s="55"/>
      <c r="C72" s="48" t="s">
        <v>157</v>
      </c>
      <c r="D72" s="48" t="s">
        <v>123</v>
      </c>
      <c r="E72" s="49" t="s">
        <v>273</v>
      </c>
      <c r="F72" s="56" t="s">
        <v>187</v>
      </c>
      <c r="G72" s="62">
        <v>2453.264</v>
      </c>
      <c r="W72" s="62">
        <f>1839.94826+613.316</f>
        <v>2453.26426</v>
      </c>
      <c r="X72" s="62">
        <f>G72-W72</f>
        <v>-0.00025999999979831045</v>
      </c>
    </row>
    <row r="73" spans="1:24" ht="31.5">
      <c r="A73" s="242" t="s">
        <v>531</v>
      </c>
      <c r="B73" s="55"/>
      <c r="C73" s="45" t="s">
        <v>157</v>
      </c>
      <c r="D73" s="45" t="s">
        <v>123</v>
      </c>
      <c r="E73" s="52" t="s">
        <v>274</v>
      </c>
      <c r="F73" s="57"/>
      <c r="G73" s="58">
        <f>G74+G84+G81</f>
        <v>1313</v>
      </c>
      <c r="W73" s="58">
        <f>W74+W84+W81</f>
        <v>1313</v>
      </c>
      <c r="X73" s="58">
        <f>X74+X84+X81</f>
        <v>0</v>
      </c>
    </row>
    <row r="74" spans="1:24" ht="15.75">
      <c r="A74" s="238" t="s">
        <v>95</v>
      </c>
      <c r="B74" s="55"/>
      <c r="C74" s="48" t="s">
        <v>157</v>
      </c>
      <c r="D74" s="48" t="s">
        <v>123</v>
      </c>
      <c r="E74" s="49" t="s">
        <v>275</v>
      </c>
      <c r="F74" s="56"/>
      <c r="G74" s="62">
        <f>G75+G79+G77</f>
        <v>80</v>
      </c>
      <c r="W74" s="62">
        <f>W75+W79+W77</f>
        <v>80</v>
      </c>
      <c r="X74" s="62">
        <f>X75+X79+X77</f>
        <v>0</v>
      </c>
    </row>
    <row r="75" spans="1:24" ht="47.25">
      <c r="A75" s="237" t="s">
        <v>116</v>
      </c>
      <c r="B75" s="55"/>
      <c r="C75" s="48" t="s">
        <v>157</v>
      </c>
      <c r="D75" s="48" t="s">
        <v>123</v>
      </c>
      <c r="E75" s="49" t="s">
        <v>275</v>
      </c>
      <c r="F75" s="56" t="s">
        <v>198</v>
      </c>
      <c r="G75" s="62">
        <f>G76</f>
        <v>40</v>
      </c>
      <c r="W75" s="62">
        <f>W76</f>
        <v>40</v>
      </c>
      <c r="X75" s="62">
        <f>X76</f>
        <v>0</v>
      </c>
    </row>
    <row r="76" spans="1:24" ht="24.75" customHeight="1">
      <c r="A76" s="237" t="s">
        <v>193</v>
      </c>
      <c r="B76" s="55"/>
      <c r="C76" s="48" t="s">
        <v>157</v>
      </c>
      <c r="D76" s="48" t="s">
        <v>123</v>
      </c>
      <c r="E76" s="49" t="s">
        <v>275</v>
      </c>
      <c r="F76" s="56" t="s">
        <v>194</v>
      </c>
      <c r="G76" s="62">
        <v>40</v>
      </c>
      <c r="W76" s="62">
        <v>40</v>
      </c>
      <c r="X76" s="62">
        <f>G76-W76</f>
        <v>0</v>
      </c>
    </row>
    <row r="77" spans="1:24" ht="15.75">
      <c r="A77" s="237" t="s">
        <v>226</v>
      </c>
      <c r="B77" s="55"/>
      <c r="C77" s="48" t="s">
        <v>157</v>
      </c>
      <c r="D77" s="48" t="s">
        <v>123</v>
      </c>
      <c r="E77" s="49" t="s">
        <v>275</v>
      </c>
      <c r="F77" s="56" t="s">
        <v>188</v>
      </c>
      <c r="G77" s="62">
        <f>G78</f>
        <v>20</v>
      </c>
      <c r="W77" s="62">
        <f>W78</f>
        <v>20</v>
      </c>
      <c r="X77" s="62">
        <f>X78</f>
        <v>0</v>
      </c>
    </row>
    <row r="78" spans="1:24" ht="15.75">
      <c r="A78" s="237" t="s">
        <v>189</v>
      </c>
      <c r="B78" s="55"/>
      <c r="C78" s="48" t="s">
        <v>157</v>
      </c>
      <c r="D78" s="48" t="s">
        <v>123</v>
      </c>
      <c r="E78" s="49" t="s">
        <v>275</v>
      </c>
      <c r="F78" s="56" t="s">
        <v>187</v>
      </c>
      <c r="G78" s="62">
        <v>20</v>
      </c>
      <c r="W78" s="62">
        <v>20</v>
      </c>
      <c r="X78" s="62">
        <f>G78-W78</f>
        <v>0</v>
      </c>
    </row>
    <row r="79" spans="1:24" ht="31.5">
      <c r="A79" s="237" t="s">
        <v>202</v>
      </c>
      <c r="B79" s="55"/>
      <c r="C79" s="48" t="s">
        <v>157</v>
      </c>
      <c r="D79" s="48" t="s">
        <v>123</v>
      </c>
      <c r="E79" s="49" t="s">
        <v>275</v>
      </c>
      <c r="F79" s="56" t="s">
        <v>178</v>
      </c>
      <c r="G79" s="62">
        <f>G80</f>
        <v>20</v>
      </c>
      <c r="W79" s="62">
        <f>W80</f>
        <v>20</v>
      </c>
      <c r="X79" s="62">
        <f>X80</f>
        <v>0</v>
      </c>
    </row>
    <row r="80" spans="1:24" ht="32.25" customHeight="1">
      <c r="A80" s="237" t="s">
        <v>388</v>
      </c>
      <c r="B80" s="55"/>
      <c r="C80" s="48" t="s">
        <v>157</v>
      </c>
      <c r="D80" s="48" t="s">
        <v>123</v>
      </c>
      <c r="E80" s="49" t="s">
        <v>275</v>
      </c>
      <c r="F80" s="56" t="s">
        <v>203</v>
      </c>
      <c r="G80" s="62">
        <v>20</v>
      </c>
      <c r="W80" s="62">
        <v>20</v>
      </c>
      <c r="X80" s="62">
        <f>G80-W80</f>
        <v>0</v>
      </c>
    </row>
    <row r="81" spans="1:24" ht="19.5" customHeight="1">
      <c r="A81" s="240" t="s">
        <v>405</v>
      </c>
      <c r="B81" s="55"/>
      <c r="C81" s="48" t="s">
        <v>157</v>
      </c>
      <c r="D81" s="48" t="s">
        <v>123</v>
      </c>
      <c r="E81" s="49" t="s">
        <v>404</v>
      </c>
      <c r="F81" s="56"/>
      <c r="G81" s="62">
        <f>G82</f>
        <v>1100</v>
      </c>
      <c r="W81" s="62">
        <f>W82</f>
        <v>1100</v>
      </c>
      <c r="X81" s="62">
        <f>X82</f>
        <v>0</v>
      </c>
    </row>
    <row r="82" spans="1:24" ht="15.75">
      <c r="A82" s="237" t="s">
        <v>226</v>
      </c>
      <c r="B82" s="55"/>
      <c r="C82" s="48" t="s">
        <v>157</v>
      </c>
      <c r="D82" s="48" t="s">
        <v>123</v>
      </c>
      <c r="E82" s="49" t="s">
        <v>404</v>
      </c>
      <c r="F82" s="56" t="s">
        <v>188</v>
      </c>
      <c r="G82" s="62">
        <f>G83</f>
        <v>1100</v>
      </c>
      <c r="W82" s="62">
        <f>W83</f>
        <v>1100</v>
      </c>
      <c r="X82" s="62">
        <f>X83</f>
        <v>0</v>
      </c>
    </row>
    <row r="83" spans="1:24" ht="15.75">
      <c r="A83" s="237" t="s">
        <v>189</v>
      </c>
      <c r="B83" s="55"/>
      <c r="C83" s="48" t="s">
        <v>157</v>
      </c>
      <c r="D83" s="48" t="s">
        <v>123</v>
      </c>
      <c r="E83" s="49" t="s">
        <v>404</v>
      </c>
      <c r="F83" s="56" t="s">
        <v>187</v>
      </c>
      <c r="G83" s="62">
        <f>300+800</f>
        <v>1100</v>
      </c>
      <c r="W83" s="62">
        <f>300+800</f>
        <v>1100</v>
      </c>
      <c r="X83" s="62">
        <f>G83-W83</f>
        <v>0</v>
      </c>
    </row>
    <row r="84" spans="1:24" ht="31.5">
      <c r="A84" s="240" t="s">
        <v>316</v>
      </c>
      <c r="B84" s="55"/>
      <c r="C84" s="48" t="s">
        <v>157</v>
      </c>
      <c r="D84" s="48" t="s">
        <v>123</v>
      </c>
      <c r="E84" s="49" t="s">
        <v>276</v>
      </c>
      <c r="F84" s="56"/>
      <c r="G84" s="62">
        <f>G85</f>
        <v>133</v>
      </c>
      <c r="W84" s="62">
        <f>W85</f>
        <v>133</v>
      </c>
      <c r="X84" s="62">
        <f>X85</f>
        <v>0</v>
      </c>
    </row>
    <row r="85" spans="1:24" ht="31.5">
      <c r="A85" s="237" t="s">
        <v>202</v>
      </c>
      <c r="B85" s="55"/>
      <c r="C85" s="48" t="s">
        <v>157</v>
      </c>
      <c r="D85" s="48" t="s">
        <v>123</v>
      </c>
      <c r="E85" s="49" t="s">
        <v>276</v>
      </c>
      <c r="F85" s="56" t="s">
        <v>178</v>
      </c>
      <c r="G85" s="62">
        <f>G86</f>
        <v>133</v>
      </c>
      <c r="W85" s="62">
        <f>W86</f>
        <v>133</v>
      </c>
      <c r="X85" s="62">
        <f>X86</f>
        <v>0</v>
      </c>
    </row>
    <row r="86" spans="1:24" ht="31.5">
      <c r="A86" s="237" t="s">
        <v>388</v>
      </c>
      <c r="B86" s="55"/>
      <c r="C86" s="48" t="s">
        <v>157</v>
      </c>
      <c r="D86" s="48" t="s">
        <v>123</v>
      </c>
      <c r="E86" s="49" t="s">
        <v>276</v>
      </c>
      <c r="F86" s="56" t="s">
        <v>203</v>
      </c>
      <c r="G86" s="62">
        <v>133</v>
      </c>
      <c r="W86" s="62">
        <v>133</v>
      </c>
      <c r="X86" s="62">
        <f>G86-W86</f>
        <v>0</v>
      </c>
    </row>
    <row r="87" spans="1:24" ht="15.75">
      <c r="A87" s="242" t="s">
        <v>532</v>
      </c>
      <c r="B87" s="55"/>
      <c r="C87" s="45" t="s">
        <v>157</v>
      </c>
      <c r="D87" s="45" t="s">
        <v>123</v>
      </c>
      <c r="E87" s="52" t="s">
        <v>409</v>
      </c>
      <c r="F87" s="57"/>
      <c r="G87" s="58">
        <f>G88</f>
        <v>80</v>
      </c>
      <c r="W87" s="58">
        <f>W88</f>
        <v>80</v>
      </c>
      <c r="X87" s="58">
        <f>X88</f>
        <v>0</v>
      </c>
    </row>
    <row r="88" spans="1:24" ht="15.75">
      <c r="A88" s="238" t="s">
        <v>95</v>
      </c>
      <c r="B88" s="55"/>
      <c r="C88" s="48" t="s">
        <v>157</v>
      </c>
      <c r="D88" s="48" t="s">
        <v>123</v>
      </c>
      <c r="E88" s="49" t="s">
        <v>408</v>
      </c>
      <c r="F88" s="56"/>
      <c r="G88" s="62">
        <f>G89+G91</f>
        <v>80</v>
      </c>
      <c r="W88" s="62">
        <f>W89+W91</f>
        <v>80</v>
      </c>
      <c r="X88" s="62">
        <f>X89+X91</f>
        <v>0</v>
      </c>
    </row>
    <row r="89" spans="1:24" ht="47.25">
      <c r="A89" s="237" t="s">
        <v>116</v>
      </c>
      <c r="B89" s="55"/>
      <c r="C89" s="48" t="s">
        <v>157</v>
      </c>
      <c r="D89" s="48" t="s">
        <v>123</v>
      </c>
      <c r="E89" s="49" t="s">
        <v>408</v>
      </c>
      <c r="F89" s="56" t="s">
        <v>198</v>
      </c>
      <c r="G89" s="62">
        <f>G90</f>
        <v>60</v>
      </c>
      <c r="W89" s="62">
        <f>W90</f>
        <v>60</v>
      </c>
      <c r="X89" s="62">
        <f>X90</f>
        <v>0</v>
      </c>
    </row>
    <row r="90" spans="1:24" ht="17.25" customHeight="1">
      <c r="A90" s="237" t="s">
        <v>193</v>
      </c>
      <c r="B90" s="55"/>
      <c r="C90" s="48" t="s">
        <v>157</v>
      </c>
      <c r="D90" s="48" t="s">
        <v>123</v>
      </c>
      <c r="E90" s="49" t="s">
        <v>408</v>
      </c>
      <c r="F90" s="56" t="s">
        <v>194</v>
      </c>
      <c r="G90" s="62">
        <v>60</v>
      </c>
      <c r="W90" s="62">
        <v>60</v>
      </c>
      <c r="X90" s="62">
        <f>G90-W90</f>
        <v>0</v>
      </c>
    </row>
    <row r="91" spans="1:24" ht="15.75">
      <c r="A91" s="237" t="s">
        <v>226</v>
      </c>
      <c r="B91" s="55"/>
      <c r="C91" s="48" t="s">
        <v>157</v>
      </c>
      <c r="D91" s="48" t="s">
        <v>123</v>
      </c>
      <c r="E91" s="49" t="s">
        <v>408</v>
      </c>
      <c r="F91" s="56" t="s">
        <v>188</v>
      </c>
      <c r="G91" s="62">
        <f>G92</f>
        <v>20</v>
      </c>
      <c r="W91" s="62">
        <f>W92</f>
        <v>20</v>
      </c>
      <c r="X91" s="62">
        <f>X92</f>
        <v>0</v>
      </c>
    </row>
    <row r="92" spans="1:24" ht="16.5" customHeight="1">
      <c r="A92" s="237" t="s">
        <v>189</v>
      </c>
      <c r="B92" s="55"/>
      <c r="C92" s="48" t="s">
        <v>157</v>
      </c>
      <c r="D92" s="48" t="s">
        <v>123</v>
      </c>
      <c r="E92" s="49" t="s">
        <v>408</v>
      </c>
      <c r="F92" s="56" t="s">
        <v>187</v>
      </c>
      <c r="G92" s="62">
        <v>20</v>
      </c>
      <c r="W92" s="62">
        <v>20</v>
      </c>
      <c r="X92" s="62">
        <f>G92-W92</f>
        <v>0</v>
      </c>
    </row>
    <row r="93" spans="1:24" ht="31.5">
      <c r="A93" s="243" t="s">
        <v>487</v>
      </c>
      <c r="B93" s="92"/>
      <c r="C93" s="93" t="s">
        <v>157</v>
      </c>
      <c r="D93" s="93" t="s">
        <v>123</v>
      </c>
      <c r="E93" s="52" t="s">
        <v>354</v>
      </c>
      <c r="F93" s="94"/>
      <c r="G93" s="58">
        <f>G94</f>
        <v>92</v>
      </c>
      <c r="W93" s="58">
        <f aca="true" t="shared" si="4" ref="W93:X95">W94</f>
        <v>92</v>
      </c>
      <c r="X93" s="58">
        <f t="shared" si="4"/>
        <v>0</v>
      </c>
    </row>
    <row r="94" spans="1:24" ht="15.75">
      <c r="A94" s="238" t="s">
        <v>94</v>
      </c>
      <c r="B94" s="55"/>
      <c r="C94" s="80" t="s">
        <v>157</v>
      </c>
      <c r="D94" s="80" t="s">
        <v>123</v>
      </c>
      <c r="E94" s="81" t="s">
        <v>355</v>
      </c>
      <c r="F94" s="76"/>
      <c r="G94" s="62">
        <f>G95</f>
        <v>92</v>
      </c>
      <c r="W94" s="62">
        <f t="shared" si="4"/>
        <v>92</v>
      </c>
      <c r="X94" s="62">
        <f t="shared" si="4"/>
        <v>0</v>
      </c>
    </row>
    <row r="95" spans="1:24" ht="15.75">
      <c r="A95" s="237" t="s">
        <v>226</v>
      </c>
      <c r="B95" s="47"/>
      <c r="C95" s="80" t="s">
        <v>157</v>
      </c>
      <c r="D95" s="80" t="s">
        <v>123</v>
      </c>
      <c r="E95" s="81" t="s">
        <v>355</v>
      </c>
      <c r="F95" s="76" t="s">
        <v>188</v>
      </c>
      <c r="G95" s="62">
        <f>G96</f>
        <v>92</v>
      </c>
      <c r="W95" s="62">
        <f t="shared" si="4"/>
        <v>92</v>
      </c>
      <c r="X95" s="62">
        <f t="shared" si="4"/>
        <v>0</v>
      </c>
    </row>
    <row r="96" spans="1:24" ht="15.75">
      <c r="A96" s="237" t="s">
        <v>189</v>
      </c>
      <c r="B96" s="55"/>
      <c r="C96" s="80" t="s">
        <v>157</v>
      </c>
      <c r="D96" s="80" t="s">
        <v>123</v>
      </c>
      <c r="E96" s="81" t="s">
        <v>355</v>
      </c>
      <c r="F96" s="76" t="s">
        <v>187</v>
      </c>
      <c r="G96" s="62">
        <v>92</v>
      </c>
      <c r="W96" s="62">
        <v>92</v>
      </c>
      <c r="X96" s="62">
        <f>G96-W96</f>
        <v>0</v>
      </c>
    </row>
    <row r="97" spans="1:24" s="16" customFormat="1" ht="31.5">
      <c r="A97" s="234" t="s">
        <v>461</v>
      </c>
      <c r="B97" s="51"/>
      <c r="C97" s="45" t="s">
        <v>157</v>
      </c>
      <c r="D97" s="45" t="s">
        <v>123</v>
      </c>
      <c r="E97" s="52" t="s">
        <v>41</v>
      </c>
      <c r="F97" s="57"/>
      <c r="G97" s="58">
        <f>G105+G98</f>
        <v>25320</v>
      </c>
      <c r="H97" s="293"/>
      <c r="I97" s="293"/>
      <c r="J97" s="293"/>
      <c r="K97" s="293"/>
      <c r="L97" s="293"/>
      <c r="M97" s="293"/>
      <c r="N97" s="293"/>
      <c r="O97" s="293"/>
      <c r="P97" s="293"/>
      <c r="Q97" s="222"/>
      <c r="R97" s="293"/>
      <c r="S97" s="293"/>
      <c r="T97" s="293"/>
      <c r="U97" s="293"/>
      <c r="V97" s="293"/>
      <c r="W97" s="58">
        <f>W105+W98</f>
        <v>25320</v>
      </c>
      <c r="X97" s="58">
        <f>X105+X98</f>
        <v>0</v>
      </c>
    </row>
    <row r="98" spans="1:24" ht="15.75">
      <c r="A98" s="235" t="s">
        <v>106</v>
      </c>
      <c r="B98" s="51"/>
      <c r="C98" s="48" t="s">
        <v>157</v>
      </c>
      <c r="D98" s="48" t="s">
        <v>123</v>
      </c>
      <c r="E98" s="49" t="s">
        <v>253</v>
      </c>
      <c r="F98" s="56"/>
      <c r="G98" s="62">
        <f>G99+G101+G103</f>
        <v>23305</v>
      </c>
      <c r="Q98" s="334"/>
      <c r="S98" s="333">
        <f>G98+G127</f>
        <v>26618.1</v>
      </c>
      <c r="W98" s="62">
        <f>W99+W101+W103</f>
        <v>23305</v>
      </c>
      <c r="X98" s="62">
        <f>X99+X101+X103</f>
        <v>0</v>
      </c>
    </row>
    <row r="99" spans="1:24" ht="47.25">
      <c r="A99" s="237" t="s">
        <v>116</v>
      </c>
      <c r="B99" s="51"/>
      <c r="C99" s="48" t="s">
        <v>157</v>
      </c>
      <c r="D99" s="48" t="s">
        <v>123</v>
      </c>
      <c r="E99" s="49" t="s">
        <v>253</v>
      </c>
      <c r="F99" s="56" t="s">
        <v>198</v>
      </c>
      <c r="G99" s="62">
        <f>G100</f>
        <v>8281.3</v>
      </c>
      <c r="W99" s="62">
        <f>W100</f>
        <v>8281.3</v>
      </c>
      <c r="X99" s="62">
        <f>X100</f>
        <v>0</v>
      </c>
    </row>
    <row r="100" spans="1:24" ht="15.75">
      <c r="A100" s="237" t="s">
        <v>255</v>
      </c>
      <c r="B100" s="51"/>
      <c r="C100" s="48" t="s">
        <v>157</v>
      </c>
      <c r="D100" s="48" t="s">
        <v>123</v>
      </c>
      <c r="E100" s="49" t="s">
        <v>253</v>
      </c>
      <c r="F100" s="56" t="s">
        <v>254</v>
      </c>
      <c r="G100" s="62">
        <f>7747.3+534</f>
        <v>8281.3</v>
      </c>
      <c r="W100" s="62">
        <f>7747.3+534</f>
        <v>8281.3</v>
      </c>
      <c r="X100" s="62">
        <f>G100-W100</f>
        <v>0</v>
      </c>
    </row>
    <row r="101" spans="1:24" ht="15.75">
      <c r="A101" s="237" t="s">
        <v>226</v>
      </c>
      <c r="B101" s="51"/>
      <c r="C101" s="48" t="s">
        <v>157</v>
      </c>
      <c r="D101" s="48" t="s">
        <v>123</v>
      </c>
      <c r="E101" s="49" t="s">
        <v>253</v>
      </c>
      <c r="F101" s="56" t="s">
        <v>188</v>
      </c>
      <c r="G101" s="62">
        <f>G102</f>
        <v>14772.7</v>
      </c>
      <c r="W101" s="62">
        <f>W102</f>
        <v>14772.7</v>
      </c>
      <c r="X101" s="62">
        <f>X102</f>
        <v>0</v>
      </c>
    </row>
    <row r="102" spans="1:24" ht="15.75">
      <c r="A102" s="237" t="s">
        <v>189</v>
      </c>
      <c r="B102" s="51"/>
      <c r="C102" s="48" t="s">
        <v>157</v>
      </c>
      <c r="D102" s="48" t="s">
        <v>123</v>
      </c>
      <c r="E102" s="49" t="s">
        <v>253</v>
      </c>
      <c r="F102" s="56" t="s">
        <v>187</v>
      </c>
      <c r="G102" s="62">
        <v>14772.7</v>
      </c>
      <c r="W102" s="62">
        <f>14525.1+247.6</f>
        <v>14772.7</v>
      </c>
      <c r="X102" s="62">
        <f>G102-W102</f>
        <v>0</v>
      </c>
    </row>
    <row r="103" spans="1:24" ht="15.75">
      <c r="A103" s="163" t="s">
        <v>90</v>
      </c>
      <c r="B103" s="51"/>
      <c r="C103" s="48" t="s">
        <v>157</v>
      </c>
      <c r="D103" s="48" t="s">
        <v>123</v>
      </c>
      <c r="E103" s="49" t="s">
        <v>253</v>
      </c>
      <c r="F103" s="56" t="s">
        <v>87</v>
      </c>
      <c r="G103" s="62">
        <f>G104</f>
        <v>251</v>
      </c>
      <c r="W103" s="62">
        <f>W104</f>
        <v>251</v>
      </c>
      <c r="X103" s="62">
        <f>X104</f>
        <v>0</v>
      </c>
    </row>
    <row r="104" spans="1:24" ht="15.75">
      <c r="A104" s="163" t="s">
        <v>209</v>
      </c>
      <c r="B104" s="51"/>
      <c r="C104" s="48" t="s">
        <v>157</v>
      </c>
      <c r="D104" s="48" t="s">
        <v>123</v>
      </c>
      <c r="E104" s="49" t="s">
        <v>253</v>
      </c>
      <c r="F104" s="56" t="s">
        <v>210</v>
      </c>
      <c r="G104" s="62">
        <v>251</v>
      </c>
      <c r="W104" s="62">
        <v>251</v>
      </c>
      <c r="X104" s="62">
        <f>G104-W104</f>
        <v>0</v>
      </c>
    </row>
    <row r="105" spans="1:24" ht="16.5" customHeight="1">
      <c r="A105" s="238" t="s">
        <v>92</v>
      </c>
      <c r="B105" s="55"/>
      <c r="C105" s="48" t="s">
        <v>157</v>
      </c>
      <c r="D105" s="48" t="s">
        <v>123</v>
      </c>
      <c r="E105" s="49" t="s">
        <v>53</v>
      </c>
      <c r="F105" s="56"/>
      <c r="G105" s="62">
        <f>SUM(G106,G108)</f>
        <v>2015</v>
      </c>
      <c r="W105" s="62">
        <f>SUM(W106,W108)</f>
        <v>2015</v>
      </c>
      <c r="X105" s="62">
        <f>SUM(X106,X108)</f>
        <v>0</v>
      </c>
    </row>
    <row r="106" spans="1:24" ht="15.75">
      <c r="A106" s="237" t="s">
        <v>226</v>
      </c>
      <c r="B106" s="47"/>
      <c r="C106" s="48" t="s">
        <v>157</v>
      </c>
      <c r="D106" s="48" t="s">
        <v>123</v>
      </c>
      <c r="E106" s="49" t="s">
        <v>53</v>
      </c>
      <c r="F106" s="56" t="s">
        <v>188</v>
      </c>
      <c r="G106" s="62">
        <f>G107</f>
        <v>1980</v>
      </c>
      <c r="W106" s="62">
        <f>W107</f>
        <v>1980</v>
      </c>
      <c r="X106" s="62">
        <f>X107</f>
        <v>0</v>
      </c>
    </row>
    <row r="107" spans="1:24" ht="15.75">
      <c r="A107" s="237" t="s">
        <v>189</v>
      </c>
      <c r="B107" s="55"/>
      <c r="C107" s="48" t="s">
        <v>157</v>
      </c>
      <c r="D107" s="48" t="s">
        <v>123</v>
      </c>
      <c r="E107" s="49" t="s">
        <v>53</v>
      </c>
      <c r="F107" s="56" t="s">
        <v>187</v>
      </c>
      <c r="G107" s="62">
        <v>1980</v>
      </c>
      <c r="W107" s="62">
        <v>1980</v>
      </c>
      <c r="X107" s="62">
        <f>G107-W107</f>
        <v>0</v>
      </c>
    </row>
    <row r="108" spans="1:24" ht="15.75">
      <c r="A108" s="163" t="s">
        <v>90</v>
      </c>
      <c r="B108" s="55"/>
      <c r="C108" s="48" t="s">
        <v>211</v>
      </c>
      <c r="D108" s="48" t="s">
        <v>123</v>
      </c>
      <c r="E108" s="49" t="s">
        <v>53</v>
      </c>
      <c r="F108" s="56" t="s">
        <v>87</v>
      </c>
      <c r="G108" s="62">
        <f>G109</f>
        <v>35</v>
      </c>
      <c r="W108" s="62">
        <f>W109</f>
        <v>35</v>
      </c>
      <c r="X108" s="62">
        <f>X109</f>
        <v>0</v>
      </c>
    </row>
    <row r="109" spans="1:24" ht="15.75">
      <c r="A109" s="163" t="s">
        <v>209</v>
      </c>
      <c r="B109" s="55"/>
      <c r="C109" s="48" t="s">
        <v>157</v>
      </c>
      <c r="D109" s="48" t="s">
        <v>123</v>
      </c>
      <c r="E109" s="49" t="s">
        <v>53</v>
      </c>
      <c r="F109" s="56" t="s">
        <v>210</v>
      </c>
      <c r="G109" s="62">
        <v>35</v>
      </c>
      <c r="W109" s="62">
        <v>35</v>
      </c>
      <c r="X109" s="62">
        <f>G109-W109</f>
        <v>0</v>
      </c>
    </row>
    <row r="110" spans="1:24" ht="15.75">
      <c r="A110" s="234" t="s">
        <v>312</v>
      </c>
      <c r="B110" s="54"/>
      <c r="C110" s="45" t="s">
        <v>157</v>
      </c>
      <c r="D110" s="45" t="s">
        <v>123</v>
      </c>
      <c r="E110" s="168" t="s">
        <v>285</v>
      </c>
      <c r="F110" s="57"/>
      <c r="G110" s="58">
        <f>G111</f>
        <v>1000</v>
      </c>
      <c r="W110" s="58">
        <f>W111</f>
        <v>1000</v>
      </c>
      <c r="X110" s="58">
        <f>X111</f>
        <v>0</v>
      </c>
    </row>
    <row r="111" spans="1:24" ht="15.75">
      <c r="A111" s="238" t="s">
        <v>243</v>
      </c>
      <c r="B111" s="55"/>
      <c r="C111" s="48" t="s">
        <v>157</v>
      </c>
      <c r="D111" s="48" t="s">
        <v>123</v>
      </c>
      <c r="E111" s="76" t="s">
        <v>287</v>
      </c>
      <c r="F111" s="56"/>
      <c r="G111" s="62">
        <f>G112</f>
        <v>1000</v>
      </c>
      <c r="W111" s="62">
        <f>W112</f>
        <v>1000</v>
      </c>
      <c r="X111" s="62">
        <f>X112</f>
        <v>0</v>
      </c>
    </row>
    <row r="112" spans="1:24" ht="15.75">
      <c r="A112" s="244" t="s">
        <v>90</v>
      </c>
      <c r="B112" s="55"/>
      <c r="C112" s="48" t="s">
        <v>157</v>
      </c>
      <c r="D112" s="48" t="s">
        <v>123</v>
      </c>
      <c r="E112" s="76" t="s">
        <v>287</v>
      </c>
      <c r="F112" s="56" t="s">
        <v>87</v>
      </c>
      <c r="G112" s="62">
        <f>G113+G114</f>
        <v>1000</v>
      </c>
      <c r="H112" s="62">
        <f aca="true" t="shared" si="5" ref="H112:X112">H113+H114</f>
        <v>0</v>
      </c>
      <c r="I112" s="62">
        <f t="shared" si="5"/>
        <v>0</v>
      </c>
      <c r="J112" s="62">
        <f t="shared" si="5"/>
        <v>0</v>
      </c>
      <c r="K112" s="62">
        <f t="shared" si="5"/>
        <v>0</v>
      </c>
      <c r="L112" s="62">
        <f t="shared" si="5"/>
        <v>0</v>
      </c>
      <c r="M112" s="62">
        <f t="shared" si="5"/>
        <v>0</v>
      </c>
      <c r="N112" s="62">
        <f t="shared" si="5"/>
        <v>0</v>
      </c>
      <c r="O112" s="62">
        <f t="shared" si="5"/>
        <v>0</v>
      </c>
      <c r="P112" s="62">
        <f t="shared" si="5"/>
        <v>0</v>
      </c>
      <c r="Q112" s="62">
        <f t="shared" si="5"/>
        <v>0</v>
      </c>
      <c r="R112" s="62">
        <f t="shared" si="5"/>
        <v>0</v>
      </c>
      <c r="S112" s="62">
        <f t="shared" si="5"/>
        <v>0</v>
      </c>
      <c r="T112" s="62">
        <f t="shared" si="5"/>
        <v>0</v>
      </c>
      <c r="U112" s="62">
        <f t="shared" si="5"/>
        <v>0</v>
      </c>
      <c r="V112" s="62">
        <f t="shared" si="5"/>
        <v>0</v>
      </c>
      <c r="W112" s="62">
        <f>W113+W114</f>
        <v>1000</v>
      </c>
      <c r="X112" s="62">
        <f t="shared" si="5"/>
        <v>0</v>
      </c>
    </row>
    <row r="113" spans="1:24" ht="15.75">
      <c r="A113" s="244" t="s">
        <v>288</v>
      </c>
      <c r="B113" s="55"/>
      <c r="C113" s="48" t="s">
        <v>157</v>
      </c>
      <c r="D113" s="48" t="s">
        <v>123</v>
      </c>
      <c r="E113" s="76" t="s">
        <v>287</v>
      </c>
      <c r="F113" s="56" t="s">
        <v>598</v>
      </c>
      <c r="G113" s="62">
        <v>870</v>
      </c>
      <c r="W113" s="62">
        <f>1000-80</f>
        <v>920</v>
      </c>
      <c r="X113" s="62">
        <f>G113-W113</f>
        <v>-50</v>
      </c>
    </row>
    <row r="114" spans="1:24" ht="15.75">
      <c r="A114" s="244" t="s">
        <v>209</v>
      </c>
      <c r="B114" s="55"/>
      <c r="C114" s="48" t="s">
        <v>157</v>
      </c>
      <c r="D114" s="48" t="s">
        <v>123</v>
      </c>
      <c r="E114" s="76" t="s">
        <v>287</v>
      </c>
      <c r="F114" s="56" t="s">
        <v>210</v>
      </c>
      <c r="G114" s="62">
        <v>130</v>
      </c>
      <c r="W114" s="62">
        <v>80</v>
      </c>
      <c r="X114" s="62">
        <f>G114-W114</f>
        <v>50</v>
      </c>
    </row>
    <row r="115" spans="1:24" ht="15.75">
      <c r="A115" s="245" t="s">
        <v>472</v>
      </c>
      <c r="B115" s="54"/>
      <c r="C115" s="45" t="s">
        <v>171</v>
      </c>
      <c r="D115" s="45"/>
      <c r="E115" s="52"/>
      <c r="F115" s="57"/>
      <c r="G115" s="58">
        <f>G116</f>
        <v>664.051</v>
      </c>
      <c r="Q115" s="34"/>
      <c r="W115" s="58">
        <f aca="true" t="shared" si="6" ref="W115:X117">W116</f>
        <v>664.055</v>
      </c>
      <c r="X115" s="58">
        <f t="shared" si="6"/>
        <v>-0.0039999999999054126</v>
      </c>
    </row>
    <row r="116" spans="1:24" ht="15.75">
      <c r="A116" s="245" t="s">
        <v>139</v>
      </c>
      <c r="B116" s="55"/>
      <c r="C116" s="45" t="s">
        <v>171</v>
      </c>
      <c r="D116" s="45" t="s">
        <v>158</v>
      </c>
      <c r="E116" s="49"/>
      <c r="F116" s="56"/>
      <c r="G116" s="62">
        <f>G117</f>
        <v>664.051</v>
      </c>
      <c r="Q116" s="34"/>
      <c r="W116" s="62">
        <f t="shared" si="6"/>
        <v>664.055</v>
      </c>
      <c r="X116" s="62">
        <f t="shared" si="6"/>
        <v>-0.0039999999999054126</v>
      </c>
    </row>
    <row r="117" spans="1:24" ht="31.5">
      <c r="A117" s="245" t="s">
        <v>473</v>
      </c>
      <c r="B117" s="55"/>
      <c r="C117" s="45" t="s">
        <v>171</v>
      </c>
      <c r="D117" s="45" t="s">
        <v>158</v>
      </c>
      <c r="E117" s="52" t="s">
        <v>41</v>
      </c>
      <c r="F117" s="57"/>
      <c r="G117" s="58">
        <f>G118</f>
        <v>664.051</v>
      </c>
      <c r="Q117" s="34"/>
      <c r="W117" s="58">
        <f t="shared" si="6"/>
        <v>664.055</v>
      </c>
      <c r="X117" s="58">
        <f t="shared" si="6"/>
        <v>-0.0039999999999054126</v>
      </c>
    </row>
    <row r="118" spans="1:24" ht="15.75">
      <c r="A118" s="163" t="s">
        <v>100</v>
      </c>
      <c r="B118" s="55"/>
      <c r="C118" s="48" t="s">
        <v>171</v>
      </c>
      <c r="D118" s="48" t="s">
        <v>158</v>
      </c>
      <c r="E118" s="49" t="s">
        <v>471</v>
      </c>
      <c r="F118" s="56"/>
      <c r="G118" s="62">
        <f>G119+G121</f>
        <v>664.051</v>
      </c>
      <c r="Q118" s="34"/>
      <c r="W118" s="62">
        <f>W119+W121</f>
        <v>664.055</v>
      </c>
      <c r="X118" s="62">
        <f>X119+X121</f>
        <v>-0.0039999999999054126</v>
      </c>
    </row>
    <row r="119" spans="1:24" ht="47.25">
      <c r="A119" s="237" t="s">
        <v>116</v>
      </c>
      <c r="B119" s="55"/>
      <c r="C119" s="48" t="s">
        <v>171</v>
      </c>
      <c r="D119" s="48" t="s">
        <v>158</v>
      </c>
      <c r="E119" s="49" t="s">
        <v>471</v>
      </c>
      <c r="F119" s="56" t="s">
        <v>198</v>
      </c>
      <c r="G119" s="62">
        <f>G120</f>
        <v>613.546</v>
      </c>
      <c r="Q119" s="34"/>
      <c r="W119" s="62">
        <f>W120</f>
        <v>613.55</v>
      </c>
      <c r="X119" s="62">
        <f>X120</f>
        <v>-0.0039999999999054126</v>
      </c>
    </row>
    <row r="120" spans="1:24" ht="15.75">
      <c r="A120" s="237" t="s">
        <v>193</v>
      </c>
      <c r="B120" s="55"/>
      <c r="C120" s="48" t="s">
        <v>171</v>
      </c>
      <c r="D120" s="48" t="s">
        <v>158</v>
      </c>
      <c r="E120" s="49" t="s">
        <v>471</v>
      </c>
      <c r="F120" s="56" t="s">
        <v>194</v>
      </c>
      <c r="G120" s="62">
        <v>613.546</v>
      </c>
      <c r="Q120" s="34"/>
      <c r="W120" s="62">
        <f>454.15+159.4</f>
        <v>613.55</v>
      </c>
      <c r="X120" s="62">
        <f>G120-W120</f>
        <v>-0.0039999999999054126</v>
      </c>
    </row>
    <row r="121" spans="1:24" ht="15.75">
      <c r="A121" s="237" t="s">
        <v>226</v>
      </c>
      <c r="B121" s="55"/>
      <c r="C121" s="48" t="s">
        <v>171</v>
      </c>
      <c r="D121" s="48" t="s">
        <v>158</v>
      </c>
      <c r="E121" s="49" t="s">
        <v>471</v>
      </c>
      <c r="F121" s="56" t="s">
        <v>188</v>
      </c>
      <c r="G121" s="62">
        <f>G122</f>
        <v>50.505</v>
      </c>
      <c r="Q121" s="34"/>
      <c r="W121" s="62">
        <f>W122</f>
        <v>50.505</v>
      </c>
      <c r="X121" s="62">
        <f>X122</f>
        <v>0</v>
      </c>
    </row>
    <row r="122" spans="1:24" ht="15.75">
      <c r="A122" s="237" t="s">
        <v>189</v>
      </c>
      <c r="B122" s="55"/>
      <c r="C122" s="48" t="s">
        <v>171</v>
      </c>
      <c r="D122" s="48" t="s">
        <v>158</v>
      </c>
      <c r="E122" s="49" t="s">
        <v>471</v>
      </c>
      <c r="F122" s="56" t="s">
        <v>187</v>
      </c>
      <c r="G122" s="62">
        <v>50.505</v>
      </c>
      <c r="Q122" s="34"/>
      <c r="W122" s="62">
        <v>50.505</v>
      </c>
      <c r="X122" s="62">
        <f>G122-W122</f>
        <v>0</v>
      </c>
    </row>
    <row r="123" spans="1:24" ht="15.75">
      <c r="A123" s="288" t="s">
        <v>128</v>
      </c>
      <c r="B123" s="51"/>
      <c r="C123" s="45" t="s">
        <v>158</v>
      </c>
      <c r="D123" s="48"/>
      <c r="E123" s="49" t="s">
        <v>175</v>
      </c>
      <c r="F123" s="48"/>
      <c r="G123" s="58">
        <f>G124+G141</f>
        <v>5866.1</v>
      </c>
      <c r="Q123" s="34"/>
      <c r="W123" s="58">
        <f>W124+W141</f>
        <v>5866.1</v>
      </c>
      <c r="X123" s="58">
        <f>X124+X141</f>
        <v>0</v>
      </c>
    </row>
    <row r="124" spans="1:24" ht="15" customHeight="1">
      <c r="A124" s="288" t="s">
        <v>384</v>
      </c>
      <c r="B124" s="55"/>
      <c r="C124" s="45" t="s">
        <v>158</v>
      </c>
      <c r="D124" s="45" t="s">
        <v>168</v>
      </c>
      <c r="E124" s="52" t="s">
        <v>175</v>
      </c>
      <c r="F124" s="57" t="s">
        <v>175</v>
      </c>
      <c r="G124" s="58">
        <f>G125</f>
        <v>4103.1</v>
      </c>
      <c r="Q124" s="34"/>
      <c r="W124" s="58">
        <f>W125</f>
        <v>4103.1</v>
      </c>
      <c r="X124" s="58">
        <f>X125</f>
        <v>0</v>
      </c>
    </row>
    <row r="125" spans="1:24" s="16" customFormat="1" ht="15" customHeight="1">
      <c r="A125" s="152" t="s">
        <v>488</v>
      </c>
      <c r="B125" s="55"/>
      <c r="C125" s="45" t="s">
        <v>158</v>
      </c>
      <c r="D125" s="45" t="s">
        <v>168</v>
      </c>
      <c r="E125" s="52" t="s">
        <v>54</v>
      </c>
      <c r="F125" s="57"/>
      <c r="G125" s="58">
        <f>G126+G137+G133</f>
        <v>4103.1</v>
      </c>
      <c r="H125" s="293"/>
      <c r="I125" s="293"/>
      <c r="J125" s="293"/>
      <c r="K125" s="293"/>
      <c r="L125" s="293"/>
      <c r="M125" s="293"/>
      <c r="N125" s="293"/>
      <c r="O125" s="293"/>
      <c r="P125" s="293"/>
      <c r="Q125" s="222"/>
      <c r="R125" s="293"/>
      <c r="S125" s="293"/>
      <c r="T125" s="293"/>
      <c r="U125" s="293"/>
      <c r="V125" s="293"/>
      <c r="W125" s="58">
        <f>W126+W137+W133</f>
        <v>4103.1</v>
      </c>
      <c r="X125" s="58">
        <f>X126+X137+X133</f>
        <v>0</v>
      </c>
    </row>
    <row r="126" spans="1:24" s="16" customFormat="1" ht="47.25">
      <c r="A126" s="152" t="s">
        <v>401</v>
      </c>
      <c r="B126" s="54"/>
      <c r="C126" s="45" t="s">
        <v>158</v>
      </c>
      <c r="D126" s="45" t="s">
        <v>168</v>
      </c>
      <c r="E126" s="52" t="s">
        <v>310</v>
      </c>
      <c r="F126" s="57"/>
      <c r="G126" s="58">
        <f>G127+G130</f>
        <v>3733.1</v>
      </c>
      <c r="H126" s="293"/>
      <c r="I126" s="293"/>
      <c r="J126" s="293"/>
      <c r="K126" s="293"/>
      <c r="L126" s="293"/>
      <c r="M126" s="293"/>
      <c r="N126" s="293"/>
      <c r="O126" s="293"/>
      <c r="P126" s="293"/>
      <c r="Q126" s="222"/>
      <c r="R126" s="293"/>
      <c r="S126" s="293"/>
      <c r="T126" s="293"/>
      <c r="U126" s="293"/>
      <c r="V126" s="293"/>
      <c r="W126" s="58">
        <f>W127+W130</f>
        <v>3733.1</v>
      </c>
      <c r="X126" s="58">
        <f>X127+X130</f>
        <v>0</v>
      </c>
    </row>
    <row r="127" spans="1:24" ht="15.75">
      <c r="A127" s="235" t="s">
        <v>106</v>
      </c>
      <c r="B127" s="55"/>
      <c r="C127" s="48" t="s">
        <v>158</v>
      </c>
      <c r="D127" s="48" t="s">
        <v>168</v>
      </c>
      <c r="E127" s="49" t="s">
        <v>400</v>
      </c>
      <c r="F127" s="56"/>
      <c r="G127" s="62">
        <f>G128</f>
        <v>3313.1</v>
      </c>
      <c r="W127" s="62">
        <f>W128</f>
        <v>3313.1</v>
      </c>
      <c r="X127" s="62">
        <f>X128</f>
        <v>0</v>
      </c>
    </row>
    <row r="128" spans="1:24" ht="47.25">
      <c r="A128" s="244" t="s">
        <v>116</v>
      </c>
      <c r="B128" s="47"/>
      <c r="C128" s="48" t="s">
        <v>158</v>
      </c>
      <c r="D128" s="48" t="s">
        <v>168</v>
      </c>
      <c r="E128" s="49" t="s">
        <v>400</v>
      </c>
      <c r="F128" s="56" t="s">
        <v>198</v>
      </c>
      <c r="G128" s="62">
        <f>G129</f>
        <v>3313.1</v>
      </c>
      <c r="W128" s="62">
        <f>W129</f>
        <v>3313.1</v>
      </c>
      <c r="X128" s="62">
        <f>X129</f>
        <v>0</v>
      </c>
    </row>
    <row r="129" spans="1:24" ht="15.75">
      <c r="A129" s="246" t="s">
        <v>597</v>
      </c>
      <c r="B129" s="55"/>
      <c r="C129" s="48" t="s">
        <v>158</v>
      </c>
      <c r="D129" s="48" t="s">
        <v>168</v>
      </c>
      <c r="E129" s="49" t="s">
        <v>400</v>
      </c>
      <c r="F129" s="56" t="s">
        <v>254</v>
      </c>
      <c r="G129" s="62">
        <f>3047.1+266</f>
        <v>3313.1</v>
      </c>
      <c r="W129" s="62">
        <f>3047.1+266</f>
        <v>3313.1</v>
      </c>
      <c r="X129" s="62">
        <f>G129-W129</f>
        <v>0</v>
      </c>
    </row>
    <row r="130" spans="1:24" ht="31.5">
      <c r="A130" s="246" t="s">
        <v>645</v>
      </c>
      <c r="B130" s="55"/>
      <c r="C130" s="48" t="s">
        <v>158</v>
      </c>
      <c r="D130" s="48" t="s">
        <v>168</v>
      </c>
      <c r="E130" s="49" t="s">
        <v>611</v>
      </c>
      <c r="F130" s="56"/>
      <c r="G130" s="62">
        <f>G131</f>
        <v>420</v>
      </c>
      <c r="W130" s="62">
        <f>W131</f>
        <v>420</v>
      </c>
      <c r="X130" s="62">
        <f>X131</f>
        <v>0</v>
      </c>
    </row>
    <row r="131" spans="1:24" ht="15.75">
      <c r="A131" s="246" t="s">
        <v>226</v>
      </c>
      <c r="B131" s="47"/>
      <c r="C131" s="48" t="s">
        <v>158</v>
      </c>
      <c r="D131" s="48" t="s">
        <v>168</v>
      </c>
      <c r="E131" s="49" t="s">
        <v>611</v>
      </c>
      <c r="F131" s="56" t="s">
        <v>188</v>
      </c>
      <c r="G131" s="62">
        <f>G132</f>
        <v>420</v>
      </c>
      <c r="W131" s="62">
        <f>W132</f>
        <v>420</v>
      </c>
      <c r="X131" s="62">
        <f>X132</f>
        <v>0</v>
      </c>
    </row>
    <row r="132" spans="1:24" ht="15.75">
      <c r="A132" s="246" t="s">
        <v>189</v>
      </c>
      <c r="B132" s="55"/>
      <c r="C132" s="48" t="s">
        <v>158</v>
      </c>
      <c r="D132" s="48" t="s">
        <v>168</v>
      </c>
      <c r="E132" s="49" t="s">
        <v>611</v>
      </c>
      <c r="F132" s="56" t="s">
        <v>187</v>
      </c>
      <c r="G132" s="62">
        <f>20+400</f>
        <v>420</v>
      </c>
      <c r="W132" s="62">
        <f>20+400</f>
        <v>420</v>
      </c>
      <c r="X132" s="62">
        <f>G132-W132</f>
        <v>0</v>
      </c>
    </row>
    <row r="133" spans="1:24" ht="15.75">
      <c r="A133" s="247" t="s">
        <v>565</v>
      </c>
      <c r="B133" s="54"/>
      <c r="C133" s="45" t="s">
        <v>158</v>
      </c>
      <c r="D133" s="45" t="s">
        <v>168</v>
      </c>
      <c r="E133" s="52" t="s">
        <v>610</v>
      </c>
      <c r="F133" s="57"/>
      <c r="G133" s="58">
        <f>G134</f>
        <v>70</v>
      </c>
      <c r="W133" s="58">
        <f aca="true" t="shared" si="7" ref="W133:X135">W134</f>
        <v>70</v>
      </c>
      <c r="X133" s="58">
        <f t="shared" si="7"/>
        <v>0</v>
      </c>
    </row>
    <row r="134" spans="1:24" ht="31.5">
      <c r="A134" s="248" t="s">
        <v>642</v>
      </c>
      <c r="B134" s="55"/>
      <c r="C134" s="48" t="s">
        <v>158</v>
      </c>
      <c r="D134" s="48" t="s">
        <v>168</v>
      </c>
      <c r="E134" s="76" t="s">
        <v>567</v>
      </c>
      <c r="F134" s="56"/>
      <c r="G134" s="62">
        <f>G135</f>
        <v>70</v>
      </c>
      <c r="W134" s="62">
        <f t="shared" si="7"/>
        <v>70</v>
      </c>
      <c r="X134" s="62">
        <f t="shared" si="7"/>
        <v>0</v>
      </c>
    </row>
    <row r="135" spans="1:24" ht="15.75">
      <c r="A135" s="244" t="s">
        <v>226</v>
      </c>
      <c r="B135" s="55"/>
      <c r="C135" s="48" t="s">
        <v>158</v>
      </c>
      <c r="D135" s="48" t="s">
        <v>168</v>
      </c>
      <c r="E135" s="76" t="s">
        <v>567</v>
      </c>
      <c r="F135" s="56" t="s">
        <v>188</v>
      </c>
      <c r="G135" s="62">
        <f>G136</f>
        <v>70</v>
      </c>
      <c r="W135" s="62">
        <f t="shared" si="7"/>
        <v>70</v>
      </c>
      <c r="X135" s="62">
        <f t="shared" si="7"/>
        <v>0</v>
      </c>
    </row>
    <row r="136" spans="1:24" ht="15.75">
      <c r="A136" s="244" t="s">
        <v>189</v>
      </c>
      <c r="B136" s="55"/>
      <c r="C136" s="48" t="s">
        <v>158</v>
      </c>
      <c r="D136" s="48" t="s">
        <v>168</v>
      </c>
      <c r="E136" s="76" t="s">
        <v>567</v>
      </c>
      <c r="F136" s="56" t="s">
        <v>187</v>
      </c>
      <c r="G136" s="62">
        <v>70</v>
      </c>
      <c r="W136" s="62">
        <v>70</v>
      </c>
      <c r="X136" s="62">
        <f>G136-W136</f>
        <v>0</v>
      </c>
    </row>
    <row r="137" spans="1:24" ht="15.75">
      <c r="A137" s="249" t="s">
        <v>55</v>
      </c>
      <c r="B137" s="54"/>
      <c r="C137" s="45" t="s">
        <v>158</v>
      </c>
      <c r="D137" s="45" t="s">
        <v>168</v>
      </c>
      <c r="E137" s="52" t="s">
        <v>56</v>
      </c>
      <c r="F137" s="57"/>
      <c r="G137" s="58">
        <f>G138</f>
        <v>300</v>
      </c>
      <c r="W137" s="58">
        <f>W138</f>
        <v>300</v>
      </c>
      <c r="X137" s="58">
        <f>X138</f>
        <v>0</v>
      </c>
    </row>
    <row r="138" spans="1:24" ht="15.75">
      <c r="A138" s="250" t="s">
        <v>58</v>
      </c>
      <c r="B138" s="55"/>
      <c r="C138" s="48" t="s">
        <v>158</v>
      </c>
      <c r="D138" s="48" t="s">
        <v>168</v>
      </c>
      <c r="E138" s="49" t="s">
        <v>57</v>
      </c>
      <c r="F138" s="56"/>
      <c r="G138" s="62">
        <f>SUM(G139)</f>
        <v>300</v>
      </c>
      <c r="W138" s="62">
        <f>SUM(W139)</f>
        <v>300</v>
      </c>
      <c r="X138" s="62">
        <f>SUM(X139)</f>
        <v>0</v>
      </c>
    </row>
    <row r="139" spans="1:24" ht="15.75">
      <c r="A139" s="246" t="s">
        <v>226</v>
      </c>
      <c r="B139" s="47"/>
      <c r="C139" s="48" t="s">
        <v>158</v>
      </c>
      <c r="D139" s="48" t="s">
        <v>168</v>
      </c>
      <c r="E139" s="49" t="s">
        <v>57</v>
      </c>
      <c r="F139" s="56" t="s">
        <v>188</v>
      </c>
      <c r="G139" s="62">
        <f>G140</f>
        <v>300</v>
      </c>
      <c r="W139" s="62">
        <f>W140</f>
        <v>300</v>
      </c>
      <c r="X139" s="62">
        <f>X140</f>
        <v>0</v>
      </c>
    </row>
    <row r="140" spans="1:24" ht="15.75">
      <c r="A140" s="246" t="s">
        <v>189</v>
      </c>
      <c r="B140" s="55"/>
      <c r="C140" s="48" t="s">
        <v>158</v>
      </c>
      <c r="D140" s="48" t="s">
        <v>168</v>
      </c>
      <c r="E140" s="49" t="s">
        <v>57</v>
      </c>
      <c r="F140" s="56" t="s">
        <v>187</v>
      </c>
      <c r="G140" s="62">
        <v>300</v>
      </c>
      <c r="W140" s="62">
        <v>300</v>
      </c>
      <c r="X140" s="62">
        <f>G140-W140</f>
        <v>0</v>
      </c>
    </row>
    <row r="141" spans="1:24" ht="33" customHeight="1">
      <c r="A141" s="251" t="s">
        <v>568</v>
      </c>
      <c r="B141" s="55"/>
      <c r="C141" s="45" t="s">
        <v>158</v>
      </c>
      <c r="D141" s="45" t="s">
        <v>127</v>
      </c>
      <c r="E141" s="52"/>
      <c r="F141" s="56"/>
      <c r="G141" s="58">
        <f>G142</f>
        <v>1763</v>
      </c>
      <c r="W141" s="58">
        <f>W142</f>
        <v>1763</v>
      </c>
      <c r="X141" s="58">
        <f>X142</f>
        <v>0</v>
      </c>
    </row>
    <row r="142" spans="1:24" ht="15.75">
      <c r="A142" s="152" t="s">
        <v>488</v>
      </c>
      <c r="B142" s="55"/>
      <c r="C142" s="45" t="s">
        <v>158</v>
      </c>
      <c r="D142" s="45" t="s">
        <v>127</v>
      </c>
      <c r="E142" s="52" t="s">
        <v>54</v>
      </c>
      <c r="F142" s="56"/>
      <c r="G142" s="58">
        <f>G143</f>
        <v>1763</v>
      </c>
      <c r="W142" s="58">
        <f>W143</f>
        <v>1763</v>
      </c>
      <c r="X142" s="58">
        <f>X143</f>
        <v>0</v>
      </c>
    </row>
    <row r="143" spans="1:24" ht="15.75">
      <c r="A143" s="247" t="s">
        <v>569</v>
      </c>
      <c r="B143" s="55"/>
      <c r="C143" s="48" t="s">
        <v>158</v>
      </c>
      <c r="D143" s="48" t="s">
        <v>127</v>
      </c>
      <c r="E143" s="49" t="s">
        <v>573</v>
      </c>
      <c r="F143" s="56"/>
      <c r="G143" s="62">
        <f>G144+G149+G152</f>
        <v>1763</v>
      </c>
      <c r="W143" s="62">
        <f>W144+W149+W152</f>
        <v>1763</v>
      </c>
      <c r="X143" s="62">
        <f>X144+X149+X152</f>
        <v>0</v>
      </c>
    </row>
    <row r="144" spans="1:24" ht="15.75">
      <c r="A144" s="248" t="s">
        <v>570</v>
      </c>
      <c r="B144" s="55"/>
      <c r="C144" s="48" t="s">
        <v>158</v>
      </c>
      <c r="D144" s="48" t="s">
        <v>127</v>
      </c>
      <c r="E144" s="76" t="s">
        <v>574</v>
      </c>
      <c r="F144" s="56"/>
      <c r="G144" s="62">
        <f>G145+G147</f>
        <v>1123</v>
      </c>
      <c r="W144" s="62">
        <f>W145+W147</f>
        <v>1123</v>
      </c>
      <c r="X144" s="62">
        <f>X145+X147</f>
        <v>0</v>
      </c>
    </row>
    <row r="145" spans="1:24" ht="47.25">
      <c r="A145" s="244" t="s">
        <v>116</v>
      </c>
      <c r="B145" s="55"/>
      <c r="C145" s="48" t="s">
        <v>158</v>
      </c>
      <c r="D145" s="48" t="s">
        <v>127</v>
      </c>
      <c r="E145" s="76" t="s">
        <v>574</v>
      </c>
      <c r="F145" s="91" t="s">
        <v>198</v>
      </c>
      <c r="G145" s="62">
        <f>G146</f>
        <v>40</v>
      </c>
      <c r="W145" s="62">
        <f>W146</f>
        <v>40</v>
      </c>
      <c r="X145" s="62">
        <f>X146</f>
        <v>0</v>
      </c>
    </row>
    <row r="146" spans="1:24" ht="15.75">
      <c r="A146" s="244" t="s">
        <v>193</v>
      </c>
      <c r="B146" s="55"/>
      <c r="C146" s="48" t="s">
        <v>158</v>
      </c>
      <c r="D146" s="48" t="s">
        <v>127</v>
      </c>
      <c r="E146" s="76" t="s">
        <v>574</v>
      </c>
      <c r="F146" s="91" t="s">
        <v>194</v>
      </c>
      <c r="G146" s="62">
        <v>40</v>
      </c>
      <c r="W146" s="62">
        <v>40</v>
      </c>
      <c r="X146" s="62">
        <f>G146-W146</f>
        <v>0</v>
      </c>
    </row>
    <row r="147" spans="1:24" ht="15.75">
      <c r="A147" s="244" t="s">
        <v>226</v>
      </c>
      <c r="B147" s="55"/>
      <c r="C147" s="48" t="s">
        <v>158</v>
      </c>
      <c r="D147" s="48" t="s">
        <v>127</v>
      </c>
      <c r="E147" s="76" t="s">
        <v>574</v>
      </c>
      <c r="F147" s="91" t="s">
        <v>188</v>
      </c>
      <c r="G147" s="62">
        <f>G148</f>
        <v>1083</v>
      </c>
      <c r="W147" s="62">
        <f>W148</f>
        <v>1083</v>
      </c>
      <c r="X147" s="62">
        <f>X148</f>
        <v>0</v>
      </c>
    </row>
    <row r="148" spans="1:24" ht="15.75">
      <c r="A148" s="244" t="s">
        <v>189</v>
      </c>
      <c r="B148" s="55"/>
      <c r="C148" s="48" t="s">
        <v>158</v>
      </c>
      <c r="D148" s="48" t="s">
        <v>127</v>
      </c>
      <c r="E148" s="76" t="s">
        <v>574</v>
      </c>
      <c r="F148" s="91" t="s">
        <v>187</v>
      </c>
      <c r="G148" s="62">
        <v>1083</v>
      </c>
      <c r="W148" s="62">
        <v>1083</v>
      </c>
      <c r="X148" s="62">
        <f>G148-W148</f>
        <v>0</v>
      </c>
    </row>
    <row r="149" spans="1:24" ht="15.75">
      <c r="A149" s="248" t="s">
        <v>571</v>
      </c>
      <c r="B149" s="55"/>
      <c r="C149" s="48" t="s">
        <v>158</v>
      </c>
      <c r="D149" s="48" t="s">
        <v>127</v>
      </c>
      <c r="E149" s="76" t="s">
        <v>575</v>
      </c>
      <c r="F149" s="91"/>
      <c r="G149" s="62">
        <f>G150</f>
        <v>600</v>
      </c>
      <c r="W149" s="62">
        <f>W150</f>
        <v>600</v>
      </c>
      <c r="X149" s="62">
        <f>X150</f>
        <v>0</v>
      </c>
    </row>
    <row r="150" spans="1:24" ht="15.75">
      <c r="A150" s="244" t="s">
        <v>226</v>
      </c>
      <c r="B150" s="55"/>
      <c r="C150" s="48" t="s">
        <v>158</v>
      </c>
      <c r="D150" s="48" t="s">
        <v>127</v>
      </c>
      <c r="E150" s="76" t="s">
        <v>575</v>
      </c>
      <c r="F150" s="91" t="s">
        <v>188</v>
      </c>
      <c r="G150" s="62">
        <f>G151</f>
        <v>600</v>
      </c>
      <c r="W150" s="62">
        <f>W151</f>
        <v>600</v>
      </c>
      <c r="X150" s="62">
        <f>X151</f>
        <v>0</v>
      </c>
    </row>
    <row r="151" spans="1:24" ht="15.75">
      <c r="A151" s="244" t="s">
        <v>189</v>
      </c>
      <c r="B151" s="55"/>
      <c r="C151" s="48" t="s">
        <v>158</v>
      </c>
      <c r="D151" s="48" t="s">
        <v>127</v>
      </c>
      <c r="E151" s="76" t="s">
        <v>575</v>
      </c>
      <c r="F151" s="91" t="s">
        <v>187</v>
      </c>
      <c r="G151" s="62">
        <v>600</v>
      </c>
      <c r="W151" s="62">
        <v>600</v>
      </c>
      <c r="X151" s="62">
        <f>G151-W151</f>
        <v>0</v>
      </c>
    </row>
    <row r="152" spans="1:24" ht="15.75">
      <c r="A152" s="248" t="s">
        <v>572</v>
      </c>
      <c r="B152" s="55"/>
      <c r="C152" s="48" t="s">
        <v>158</v>
      </c>
      <c r="D152" s="48" t="s">
        <v>127</v>
      </c>
      <c r="E152" s="76" t="s">
        <v>576</v>
      </c>
      <c r="F152" s="91"/>
      <c r="G152" s="62">
        <f>G153</f>
        <v>40</v>
      </c>
      <c r="W152" s="62">
        <f>W153</f>
        <v>40</v>
      </c>
      <c r="X152" s="62">
        <f>X153</f>
        <v>0</v>
      </c>
    </row>
    <row r="153" spans="1:24" ht="15.75">
      <c r="A153" s="163" t="s">
        <v>89</v>
      </c>
      <c r="B153" s="55"/>
      <c r="C153" s="48" t="s">
        <v>158</v>
      </c>
      <c r="D153" s="48" t="s">
        <v>127</v>
      </c>
      <c r="E153" s="76" t="s">
        <v>576</v>
      </c>
      <c r="F153" s="91" t="s">
        <v>85</v>
      </c>
      <c r="G153" s="62">
        <f>G154</f>
        <v>40</v>
      </c>
      <c r="W153" s="62">
        <f>W154</f>
        <v>40</v>
      </c>
      <c r="X153" s="62">
        <f>X154</f>
        <v>0</v>
      </c>
    </row>
    <row r="154" spans="1:24" ht="15.75">
      <c r="A154" s="238" t="s">
        <v>84</v>
      </c>
      <c r="B154" s="47"/>
      <c r="C154" s="48" t="s">
        <v>158</v>
      </c>
      <c r="D154" s="48" t="s">
        <v>127</v>
      </c>
      <c r="E154" s="76" t="s">
        <v>576</v>
      </c>
      <c r="F154" s="91" t="s">
        <v>86</v>
      </c>
      <c r="G154" s="62">
        <v>40</v>
      </c>
      <c r="W154" s="62">
        <v>40</v>
      </c>
      <c r="X154" s="62">
        <f>G154-W154</f>
        <v>0</v>
      </c>
    </row>
    <row r="155" spans="1:24" ht="15.75">
      <c r="A155" s="252" t="s">
        <v>169</v>
      </c>
      <c r="B155" s="51"/>
      <c r="C155" s="45" t="s">
        <v>170</v>
      </c>
      <c r="D155" s="45"/>
      <c r="E155" s="57"/>
      <c r="F155" s="289"/>
      <c r="G155" s="58">
        <f>G156+G170+G178</f>
        <v>7730</v>
      </c>
      <c r="Q155" s="34"/>
      <c r="W155" s="58">
        <f>W156+W170+W178</f>
        <v>5730</v>
      </c>
      <c r="X155" s="58">
        <f>X156+X170+X178</f>
        <v>2000</v>
      </c>
    </row>
    <row r="156" spans="1:24" s="307" customFormat="1" ht="15.75">
      <c r="A156" s="234" t="s">
        <v>153</v>
      </c>
      <c r="B156" s="51"/>
      <c r="C156" s="45" t="s">
        <v>170</v>
      </c>
      <c r="D156" s="45" t="s">
        <v>172</v>
      </c>
      <c r="E156" s="49"/>
      <c r="F156" s="56"/>
      <c r="G156" s="58">
        <f>G157</f>
        <v>3220</v>
      </c>
      <c r="H156" s="336"/>
      <c r="I156" s="336"/>
      <c r="J156" s="336"/>
      <c r="K156" s="336"/>
      <c r="L156" s="336"/>
      <c r="M156" s="336"/>
      <c r="N156" s="336"/>
      <c r="O156" s="336"/>
      <c r="P156" s="336"/>
      <c r="Q156" s="337"/>
      <c r="R156" s="336"/>
      <c r="S156" s="336"/>
      <c r="T156" s="336"/>
      <c r="U156" s="336"/>
      <c r="V156" s="336"/>
      <c r="W156" s="58">
        <f>W157</f>
        <v>1220</v>
      </c>
      <c r="X156" s="58">
        <f>X157</f>
        <v>2000</v>
      </c>
    </row>
    <row r="157" spans="1:24" ht="15.75">
      <c r="A157" s="234" t="s">
        <v>433</v>
      </c>
      <c r="B157" s="51"/>
      <c r="C157" s="45" t="s">
        <v>170</v>
      </c>
      <c r="D157" s="45" t="s">
        <v>172</v>
      </c>
      <c r="E157" s="52" t="s">
        <v>3</v>
      </c>
      <c r="F157" s="56"/>
      <c r="G157" s="58">
        <f>G164+G161+G158+G167</f>
        <v>3220</v>
      </c>
      <c r="W157" s="58">
        <f>W164+W161+W158+W167</f>
        <v>1220</v>
      </c>
      <c r="X157" s="58">
        <f>X164+X161+X158+X167</f>
        <v>2000</v>
      </c>
    </row>
    <row r="158" spans="1:24" ht="15.75">
      <c r="A158" s="235" t="s">
        <v>243</v>
      </c>
      <c r="B158" s="47"/>
      <c r="C158" s="48" t="s">
        <v>170</v>
      </c>
      <c r="D158" s="48" t="s">
        <v>172</v>
      </c>
      <c r="E158" s="49" t="s">
        <v>351</v>
      </c>
      <c r="F158" s="56"/>
      <c r="G158" s="62">
        <f>G159</f>
        <v>5</v>
      </c>
      <c r="W158" s="62">
        <f>W159</f>
        <v>5</v>
      </c>
      <c r="X158" s="62">
        <f>X159</f>
        <v>0</v>
      </c>
    </row>
    <row r="159" spans="1:24" s="307" customFormat="1" ht="15.75">
      <c r="A159" s="237" t="s">
        <v>226</v>
      </c>
      <c r="B159" s="47"/>
      <c r="C159" s="48" t="s">
        <v>170</v>
      </c>
      <c r="D159" s="48" t="s">
        <v>172</v>
      </c>
      <c r="E159" s="49" t="s">
        <v>351</v>
      </c>
      <c r="F159" s="56" t="s">
        <v>188</v>
      </c>
      <c r="G159" s="62">
        <f>G160</f>
        <v>5</v>
      </c>
      <c r="H159" s="336"/>
      <c r="I159" s="336"/>
      <c r="J159" s="336"/>
      <c r="K159" s="336"/>
      <c r="L159" s="336"/>
      <c r="M159" s="336"/>
      <c r="N159" s="336"/>
      <c r="O159" s="336"/>
      <c r="P159" s="336"/>
      <c r="Q159" s="337"/>
      <c r="R159" s="336"/>
      <c r="S159" s="336"/>
      <c r="T159" s="336"/>
      <c r="U159" s="336"/>
      <c r="V159" s="336"/>
      <c r="W159" s="62">
        <f>W160</f>
        <v>5</v>
      </c>
      <c r="X159" s="62">
        <f>X160</f>
        <v>0</v>
      </c>
    </row>
    <row r="160" spans="1:24" s="307" customFormat="1" ht="15.75">
      <c r="A160" s="237" t="s">
        <v>189</v>
      </c>
      <c r="B160" s="47"/>
      <c r="C160" s="48" t="s">
        <v>170</v>
      </c>
      <c r="D160" s="48" t="s">
        <v>172</v>
      </c>
      <c r="E160" s="49" t="s">
        <v>351</v>
      </c>
      <c r="F160" s="56" t="s">
        <v>187</v>
      </c>
      <c r="G160" s="62">
        <v>5</v>
      </c>
      <c r="H160" s="336"/>
      <c r="I160" s="336"/>
      <c r="J160" s="336"/>
      <c r="K160" s="336"/>
      <c r="L160" s="336"/>
      <c r="M160" s="336"/>
      <c r="N160" s="336"/>
      <c r="O160" s="336"/>
      <c r="P160" s="336"/>
      <c r="Q160" s="337"/>
      <c r="R160" s="336"/>
      <c r="S160" s="336"/>
      <c r="T160" s="336"/>
      <c r="U160" s="336"/>
      <c r="V160" s="336"/>
      <c r="W160" s="62">
        <v>5</v>
      </c>
      <c r="X160" s="62">
        <f>G160-W160</f>
        <v>0</v>
      </c>
    </row>
    <row r="161" spans="1:24" s="307" customFormat="1" ht="15.75">
      <c r="A161" s="238" t="s">
        <v>101</v>
      </c>
      <c r="B161" s="47"/>
      <c r="C161" s="48" t="s">
        <v>170</v>
      </c>
      <c r="D161" s="48" t="s">
        <v>172</v>
      </c>
      <c r="E161" s="49" t="s">
        <v>4</v>
      </c>
      <c r="F161" s="56"/>
      <c r="G161" s="62">
        <f>G162</f>
        <v>3000</v>
      </c>
      <c r="H161" s="336"/>
      <c r="I161" s="336"/>
      <c r="J161" s="336"/>
      <c r="K161" s="336"/>
      <c r="L161" s="336"/>
      <c r="M161" s="336"/>
      <c r="N161" s="336"/>
      <c r="O161" s="336"/>
      <c r="P161" s="336"/>
      <c r="Q161" s="337"/>
      <c r="R161" s="336"/>
      <c r="S161" s="336"/>
      <c r="T161" s="336"/>
      <c r="U161" s="336"/>
      <c r="V161" s="336"/>
      <c r="W161" s="62">
        <f>W162</f>
        <v>1000</v>
      </c>
      <c r="X161" s="62">
        <f>X162</f>
        <v>2000</v>
      </c>
    </row>
    <row r="162" spans="1:24" s="307" customFormat="1" ht="15.75">
      <c r="A162" s="238" t="s">
        <v>90</v>
      </c>
      <c r="B162" s="47"/>
      <c r="C162" s="48" t="s">
        <v>170</v>
      </c>
      <c r="D162" s="48" t="s">
        <v>172</v>
      </c>
      <c r="E162" s="49" t="s">
        <v>4</v>
      </c>
      <c r="F162" s="56" t="s">
        <v>87</v>
      </c>
      <c r="G162" s="62">
        <f>G163</f>
        <v>3000</v>
      </c>
      <c r="H162" s="336"/>
      <c r="I162" s="336"/>
      <c r="J162" s="336"/>
      <c r="K162" s="336"/>
      <c r="L162" s="336"/>
      <c r="M162" s="336"/>
      <c r="N162" s="336"/>
      <c r="O162" s="336"/>
      <c r="P162" s="336"/>
      <c r="Q162" s="337"/>
      <c r="R162" s="336"/>
      <c r="S162" s="336"/>
      <c r="T162" s="336"/>
      <c r="U162" s="336"/>
      <c r="V162" s="336"/>
      <c r="W162" s="62">
        <f>W163</f>
        <v>1000</v>
      </c>
      <c r="X162" s="62">
        <f>X163</f>
        <v>2000</v>
      </c>
    </row>
    <row r="163" spans="1:24" s="307" customFormat="1" ht="31.5">
      <c r="A163" s="238" t="s">
        <v>228</v>
      </c>
      <c r="B163" s="47"/>
      <c r="C163" s="48" t="s">
        <v>170</v>
      </c>
      <c r="D163" s="48" t="s">
        <v>172</v>
      </c>
      <c r="E163" s="49" t="s">
        <v>4</v>
      </c>
      <c r="F163" s="56" t="s">
        <v>88</v>
      </c>
      <c r="G163" s="62">
        <f>1000+2000</f>
        <v>3000</v>
      </c>
      <c r="H163" s="336"/>
      <c r="I163" s="336"/>
      <c r="J163" s="336"/>
      <c r="K163" s="336"/>
      <c r="L163" s="336"/>
      <c r="M163" s="336"/>
      <c r="N163" s="336"/>
      <c r="O163" s="336"/>
      <c r="P163" s="336"/>
      <c r="Q163" s="337"/>
      <c r="R163" s="336"/>
      <c r="S163" s="336"/>
      <c r="T163" s="336"/>
      <c r="U163" s="336"/>
      <c r="V163" s="336"/>
      <c r="W163" s="62">
        <v>1000</v>
      </c>
      <c r="X163" s="62">
        <f>G163-W163</f>
        <v>2000</v>
      </c>
    </row>
    <row r="164" spans="1:24" ht="15.75">
      <c r="A164" s="235" t="s">
        <v>96</v>
      </c>
      <c r="B164" s="47"/>
      <c r="C164" s="48" t="s">
        <v>170</v>
      </c>
      <c r="D164" s="48" t="s">
        <v>172</v>
      </c>
      <c r="E164" s="49" t="s">
        <v>5</v>
      </c>
      <c r="F164" s="56"/>
      <c r="G164" s="62">
        <f>G165</f>
        <v>115</v>
      </c>
      <c r="W164" s="62">
        <f>W165</f>
        <v>115</v>
      </c>
      <c r="X164" s="62">
        <f>X165</f>
        <v>0</v>
      </c>
    </row>
    <row r="165" spans="1:24" ht="15.75">
      <c r="A165" s="237" t="s">
        <v>226</v>
      </c>
      <c r="B165" s="47"/>
      <c r="C165" s="48" t="s">
        <v>170</v>
      </c>
      <c r="D165" s="48" t="s">
        <v>172</v>
      </c>
      <c r="E165" s="49" t="s">
        <v>5</v>
      </c>
      <c r="F165" s="56" t="s">
        <v>188</v>
      </c>
      <c r="G165" s="62">
        <f>G166</f>
        <v>115</v>
      </c>
      <c r="Q165" s="334"/>
      <c r="W165" s="62">
        <f>W166</f>
        <v>115</v>
      </c>
      <c r="X165" s="62">
        <f>X166</f>
        <v>0</v>
      </c>
    </row>
    <row r="166" spans="1:24" ht="15.75">
      <c r="A166" s="237" t="s">
        <v>189</v>
      </c>
      <c r="B166" s="47"/>
      <c r="C166" s="48" t="s">
        <v>170</v>
      </c>
      <c r="D166" s="48" t="s">
        <v>172</v>
      </c>
      <c r="E166" s="49" t="s">
        <v>5</v>
      </c>
      <c r="F166" s="56" t="s">
        <v>187</v>
      </c>
      <c r="G166" s="62">
        <v>115</v>
      </c>
      <c r="W166" s="62">
        <v>115</v>
      </c>
      <c r="X166" s="62">
        <f>G166-W166</f>
        <v>0</v>
      </c>
    </row>
    <row r="167" spans="1:24" ht="32.25" customHeight="1">
      <c r="A167" s="235" t="s">
        <v>349</v>
      </c>
      <c r="B167" s="47"/>
      <c r="C167" s="48" t="s">
        <v>170</v>
      </c>
      <c r="D167" s="48" t="s">
        <v>172</v>
      </c>
      <c r="E167" s="49" t="s">
        <v>350</v>
      </c>
      <c r="F167" s="56"/>
      <c r="G167" s="62">
        <f>G168</f>
        <v>100</v>
      </c>
      <c r="W167" s="62">
        <f>W168</f>
        <v>100</v>
      </c>
      <c r="X167" s="62">
        <f>X168</f>
        <v>0</v>
      </c>
    </row>
    <row r="168" spans="1:24" ht="15.75">
      <c r="A168" s="237" t="s">
        <v>226</v>
      </c>
      <c r="B168" s="47"/>
      <c r="C168" s="48" t="s">
        <v>170</v>
      </c>
      <c r="D168" s="48" t="s">
        <v>172</v>
      </c>
      <c r="E168" s="49" t="s">
        <v>350</v>
      </c>
      <c r="F168" s="56" t="s">
        <v>188</v>
      </c>
      <c r="G168" s="62">
        <f>G169</f>
        <v>100</v>
      </c>
      <c r="H168" s="338"/>
      <c r="I168" s="339"/>
      <c r="W168" s="62">
        <f>W169</f>
        <v>100</v>
      </c>
      <c r="X168" s="62">
        <f>X169</f>
        <v>0</v>
      </c>
    </row>
    <row r="169" spans="1:24" ht="15.75">
      <c r="A169" s="237" t="s">
        <v>189</v>
      </c>
      <c r="B169" s="47"/>
      <c r="C169" s="48" t="s">
        <v>170</v>
      </c>
      <c r="D169" s="48" t="s">
        <v>172</v>
      </c>
      <c r="E169" s="49" t="s">
        <v>350</v>
      </c>
      <c r="F169" s="56" t="s">
        <v>187</v>
      </c>
      <c r="G169" s="62">
        <v>100</v>
      </c>
      <c r="W169" s="62">
        <v>100</v>
      </c>
      <c r="X169" s="62">
        <f>G169-W169</f>
        <v>0</v>
      </c>
    </row>
    <row r="170" spans="1:24" ht="15.75" customHeight="1">
      <c r="A170" s="234" t="s">
        <v>173</v>
      </c>
      <c r="B170" s="51"/>
      <c r="C170" s="45" t="s">
        <v>170</v>
      </c>
      <c r="D170" s="45" t="s">
        <v>160</v>
      </c>
      <c r="E170" s="52"/>
      <c r="F170" s="57"/>
      <c r="G170" s="58">
        <f>G171</f>
        <v>3850</v>
      </c>
      <c r="W170" s="58">
        <f>W171</f>
        <v>3850</v>
      </c>
      <c r="X170" s="58">
        <f>X171</f>
        <v>0</v>
      </c>
    </row>
    <row r="171" spans="1:24" ht="15.75">
      <c r="A171" s="234" t="s">
        <v>434</v>
      </c>
      <c r="B171" s="51"/>
      <c r="C171" s="45" t="s">
        <v>170</v>
      </c>
      <c r="D171" s="45" t="s">
        <v>160</v>
      </c>
      <c r="E171" s="52" t="s">
        <v>18</v>
      </c>
      <c r="F171" s="57"/>
      <c r="G171" s="58">
        <f>G172+G175</f>
        <v>3850</v>
      </c>
      <c r="W171" s="58">
        <f>W172+W175</f>
        <v>3850</v>
      </c>
      <c r="X171" s="58">
        <f>X172+X175</f>
        <v>0</v>
      </c>
    </row>
    <row r="172" spans="1:24" ht="15.75">
      <c r="A172" s="238" t="s">
        <v>243</v>
      </c>
      <c r="B172" s="47"/>
      <c r="C172" s="48" t="s">
        <v>170</v>
      </c>
      <c r="D172" s="48" t="s">
        <v>160</v>
      </c>
      <c r="E172" s="56" t="s">
        <v>633</v>
      </c>
      <c r="F172" s="56"/>
      <c r="G172" s="62">
        <f>G173</f>
        <v>150</v>
      </c>
      <c r="W172" s="62">
        <f>W173</f>
        <v>150</v>
      </c>
      <c r="X172" s="62">
        <f>X173</f>
        <v>0</v>
      </c>
    </row>
    <row r="173" spans="1:24" ht="15.75">
      <c r="A173" s="237" t="s">
        <v>226</v>
      </c>
      <c r="B173" s="47"/>
      <c r="C173" s="48" t="s">
        <v>170</v>
      </c>
      <c r="D173" s="48" t="s">
        <v>160</v>
      </c>
      <c r="E173" s="56" t="s">
        <v>633</v>
      </c>
      <c r="F173" s="56" t="s">
        <v>188</v>
      </c>
      <c r="G173" s="62">
        <f>G174</f>
        <v>150</v>
      </c>
      <c r="W173" s="62">
        <f>W174</f>
        <v>150</v>
      </c>
      <c r="X173" s="62">
        <f>X174</f>
        <v>0</v>
      </c>
    </row>
    <row r="174" spans="1:24" ht="20.25" customHeight="1">
      <c r="A174" s="237" t="s">
        <v>189</v>
      </c>
      <c r="B174" s="47"/>
      <c r="C174" s="48" t="s">
        <v>170</v>
      </c>
      <c r="D174" s="48" t="s">
        <v>160</v>
      </c>
      <c r="E174" s="56" t="s">
        <v>633</v>
      </c>
      <c r="F174" s="56" t="s">
        <v>187</v>
      </c>
      <c r="G174" s="62">
        <v>150</v>
      </c>
      <c r="W174" s="62">
        <v>150</v>
      </c>
      <c r="X174" s="62">
        <f>G174-W174</f>
        <v>0</v>
      </c>
    </row>
    <row r="175" spans="1:24" ht="16.5" customHeight="1">
      <c r="A175" s="238" t="s">
        <v>436</v>
      </c>
      <c r="B175" s="47"/>
      <c r="C175" s="48" t="s">
        <v>170</v>
      </c>
      <c r="D175" s="48" t="s">
        <v>160</v>
      </c>
      <c r="E175" s="49" t="s">
        <v>435</v>
      </c>
      <c r="F175" s="56"/>
      <c r="G175" s="62">
        <f>G176</f>
        <v>3700</v>
      </c>
      <c r="W175" s="62">
        <f>W176</f>
        <v>3700</v>
      </c>
      <c r="X175" s="62">
        <f>X176</f>
        <v>0</v>
      </c>
    </row>
    <row r="176" spans="1:24" ht="15.75">
      <c r="A176" s="237" t="s">
        <v>226</v>
      </c>
      <c r="B176" s="47"/>
      <c r="C176" s="48" t="s">
        <v>170</v>
      </c>
      <c r="D176" s="48" t="s">
        <v>160</v>
      </c>
      <c r="E176" s="49" t="s">
        <v>435</v>
      </c>
      <c r="F176" s="56" t="s">
        <v>188</v>
      </c>
      <c r="G176" s="62">
        <f>G177</f>
        <v>3700</v>
      </c>
      <c r="W176" s="62">
        <f>W177</f>
        <v>3700</v>
      </c>
      <c r="X176" s="62">
        <f>X177</f>
        <v>0</v>
      </c>
    </row>
    <row r="177" spans="1:24" ht="20.25" customHeight="1">
      <c r="A177" s="237" t="s">
        <v>189</v>
      </c>
      <c r="B177" s="47"/>
      <c r="C177" s="48" t="s">
        <v>170</v>
      </c>
      <c r="D177" s="48" t="s">
        <v>160</v>
      </c>
      <c r="E177" s="49" t="s">
        <v>435</v>
      </c>
      <c r="F177" s="56" t="s">
        <v>187</v>
      </c>
      <c r="G177" s="62">
        <f>1850+1850</f>
        <v>3700</v>
      </c>
      <c r="W177" s="62">
        <f>1850+1850</f>
        <v>3700</v>
      </c>
      <c r="X177" s="62">
        <f>G177-W177</f>
        <v>0</v>
      </c>
    </row>
    <row r="178" spans="1:24" ht="14.25" customHeight="1">
      <c r="A178" s="252" t="s">
        <v>136</v>
      </c>
      <c r="B178" s="51"/>
      <c r="C178" s="45" t="s">
        <v>170</v>
      </c>
      <c r="D178" s="45" t="s">
        <v>164</v>
      </c>
      <c r="E178" s="52"/>
      <c r="F178" s="57"/>
      <c r="G178" s="58">
        <f>G179</f>
        <v>660</v>
      </c>
      <c r="R178" s="333">
        <f>G178+G542+G787</f>
        <v>33292.8</v>
      </c>
      <c r="W178" s="58">
        <f>W179</f>
        <v>660</v>
      </c>
      <c r="X178" s="58">
        <f>X179</f>
        <v>0</v>
      </c>
    </row>
    <row r="179" spans="1:24" ht="31.5">
      <c r="A179" s="239" t="s">
        <v>437</v>
      </c>
      <c r="B179" s="54"/>
      <c r="C179" s="45" t="s">
        <v>170</v>
      </c>
      <c r="D179" s="45" t="s">
        <v>164</v>
      </c>
      <c r="E179" s="52" t="s">
        <v>13</v>
      </c>
      <c r="F179" s="57"/>
      <c r="G179" s="58">
        <f>G180+G187</f>
        <v>660</v>
      </c>
      <c r="W179" s="58">
        <f>W180+W187</f>
        <v>660</v>
      </c>
      <c r="X179" s="58">
        <f>X180+X187</f>
        <v>0</v>
      </c>
    </row>
    <row r="180" spans="1:24" ht="15.75" customHeight="1">
      <c r="A180" s="238" t="s">
        <v>93</v>
      </c>
      <c r="B180" s="55"/>
      <c r="C180" s="48" t="s">
        <v>170</v>
      </c>
      <c r="D180" s="48" t="s">
        <v>164</v>
      </c>
      <c r="E180" s="49" t="s">
        <v>14</v>
      </c>
      <c r="F180" s="56"/>
      <c r="G180" s="62">
        <f>G185+G181+G183</f>
        <v>510</v>
      </c>
      <c r="W180" s="62">
        <f>W185+W181+W183</f>
        <v>510</v>
      </c>
      <c r="X180" s="62">
        <f>X185+X181+X183</f>
        <v>0</v>
      </c>
    </row>
    <row r="181" spans="1:24" ht="15.75" customHeight="1">
      <c r="A181" s="237" t="s">
        <v>226</v>
      </c>
      <c r="B181" s="55"/>
      <c r="C181" s="48" t="s">
        <v>170</v>
      </c>
      <c r="D181" s="48" t="s">
        <v>164</v>
      </c>
      <c r="E181" s="49" t="s">
        <v>14</v>
      </c>
      <c r="F181" s="56" t="s">
        <v>188</v>
      </c>
      <c r="G181" s="62">
        <f>G182</f>
        <v>200</v>
      </c>
      <c r="W181" s="62">
        <f>W182</f>
        <v>200</v>
      </c>
      <c r="X181" s="62">
        <f>X182</f>
        <v>0</v>
      </c>
    </row>
    <row r="182" spans="1:24" ht="15.75">
      <c r="A182" s="237" t="s">
        <v>189</v>
      </c>
      <c r="B182" s="55"/>
      <c r="C182" s="48" t="s">
        <v>170</v>
      </c>
      <c r="D182" s="48" t="s">
        <v>164</v>
      </c>
      <c r="E182" s="49" t="s">
        <v>14</v>
      </c>
      <c r="F182" s="56" t="s">
        <v>187</v>
      </c>
      <c r="G182" s="62">
        <v>200</v>
      </c>
      <c r="W182" s="62">
        <v>200</v>
      </c>
      <c r="X182" s="62">
        <f>G182-W182</f>
        <v>0</v>
      </c>
    </row>
    <row r="183" spans="1:24" ht="31.5">
      <c r="A183" s="163" t="s">
        <v>190</v>
      </c>
      <c r="B183" s="55"/>
      <c r="C183" s="48" t="s">
        <v>170</v>
      </c>
      <c r="D183" s="48" t="s">
        <v>164</v>
      </c>
      <c r="E183" s="49" t="s">
        <v>14</v>
      </c>
      <c r="F183" s="56" t="s">
        <v>178</v>
      </c>
      <c r="G183" s="62">
        <f>G184</f>
        <v>10</v>
      </c>
      <c r="W183" s="62">
        <f>W184</f>
        <v>10</v>
      </c>
      <c r="X183" s="62">
        <f>X184</f>
        <v>0</v>
      </c>
    </row>
    <row r="184" spans="1:24" ht="15.75">
      <c r="A184" s="253" t="s">
        <v>191</v>
      </c>
      <c r="B184" s="55"/>
      <c r="C184" s="48" t="s">
        <v>170</v>
      </c>
      <c r="D184" s="48" t="s">
        <v>164</v>
      </c>
      <c r="E184" s="49" t="s">
        <v>14</v>
      </c>
      <c r="F184" s="56" t="s">
        <v>192</v>
      </c>
      <c r="G184" s="62">
        <v>10</v>
      </c>
      <c r="W184" s="62">
        <v>10</v>
      </c>
      <c r="X184" s="62">
        <f>G184-W184</f>
        <v>0</v>
      </c>
    </row>
    <row r="185" spans="1:24" ht="15" customHeight="1">
      <c r="A185" s="238" t="s">
        <v>90</v>
      </c>
      <c r="B185" s="55"/>
      <c r="C185" s="48" t="s">
        <v>170</v>
      </c>
      <c r="D185" s="48" t="s">
        <v>164</v>
      </c>
      <c r="E185" s="49" t="s">
        <v>14</v>
      </c>
      <c r="F185" s="56" t="s">
        <v>87</v>
      </c>
      <c r="G185" s="62">
        <f>G186</f>
        <v>300</v>
      </c>
      <c r="W185" s="62">
        <f>W186</f>
        <v>300</v>
      </c>
      <c r="X185" s="62">
        <f>X186</f>
        <v>0</v>
      </c>
    </row>
    <row r="186" spans="1:24" s="16" customFormat="1" ht="31.5">
      <c r="A186" s="238" t="s">
        <v>228</v>
      </c>
      <c r="B186" s="55"/>
      <c r="C186" s="48" t="s">
        <v>170</v>
      </c>
      <c r="D186" s="48" t="s">
        <v>164</v>
      </c>
      <c r="E186" s="49" t="s">
        <v>14</v>
      </c>
      <c r="F186" s="56" t="s">
        <v>88</v>
      </c>
      <c r="G186" s="62">
        <v>300</v>
      </c>
      <c r="H186" s="293"/>
      <c r="I186" s="335"/>
      <c r="J186" s="293"/>
      <c r="K186" s="293"/>
      <c r="L186" s="293"/>
      <c r="M186" s="293"/>
      <c r="N186" s="293"/>
      <c r="O186" s="293"/>
      <c r="P186" s="293"/>
      <c r="Q186" s="222"/>
      <c r="R186" s="293"/>
      <c r="S186" s="293"/>
      <c r="T186" s="293"/>
      <c r="U186" s="293"/>
      <c r="V186" s="293"/>
      <c r="W186" s="62">
        <v>300</v>
      </c>
      <c r="X186" s="62">
        <f>G186-W186</f>
        <v>0</v>
      </c>
    </row>
    <row r="187" spans="1:24" ht="31.5">
      <c r="A187" s="238" t="s">
        <v>501</v>
      </c>
      <c r="B187" s="55"/>
      <c r="C187" s="48" t="s">
        <v>170</v>
      </c>
      <c r="D187" s="48" t="s">
        <v>164</v>
      </c>
      <c r="E187" s="49" t="s">
        <v>500</v>
      </c>
      <c r="F187" s="56"/>
      <c r="G187" s="62">
        <f>G188</f>
        <v>150</v>
      </c>
      <c r="W187" s="62">
        <f>W188</f>
        <v>150</v>
      </c>
      <c r="X187" s="62">
        <f>X188</f>
        <v>0</v>
      </c>
    </row>
    <row r="188" spans="1:24" ht="15" customHeight="1">
      <c r="A188" s="238" t="s">
        <v>90</v>
      </c>
      <c r="B188" s="55"/>
      <c r="C188" s="48" t="s">
        <v>170</v>
      </c>
      <c r="D188" s="48" t="s">
        <v>164</v>
      </c>
      <c r="E188" s="49" t="s">
        <v>500</v>
      </c>
      <c r="F188" s="56" t="s">
        <v>87</v>
      </c>
      <c r="G188" s="62">
        <f>G189</f>
        <v>150</v>
      </c>
      <c r="W188" s="62">
        <f>W189</f>
        <v>150</v>
      </c>
      <c r="X188" s="62">
        <f>X189</f>
        <v>0</v>
      </c>
    </row>
    <row r="189" spans="1:24" s="16" customFormat="1" ht="31.5">
      <c r="A189" s="238" t="s">
        <v>228</v>
      </c>
      <c r="B189" s="55"/>
      <c r="C189" s="48" t="s">
        <v>170</v>
      </c>
      <c r="D189" s="48" t="s">
        <v>164</v>
      </c>
      <c r="E189" s="49" t="s">
        <v>500</v>
      </c>
      <c r="F189" s="56" t="s">
        <v>88</v>
      </c>
      <c r="G189" s="62">
        <v>150</v>
      </c>
      <c r="H189" s="293"/>
      <c r="I189" s="335"/>
      <c r="J189" s="293"/>
      <c r="K189" s="293"/>
      <c r="L189" s="293"/>
      <c r="M189" s="293"/>
      <c r="N189" s="293"/>
      <c r="O189" s="293"/>
      <c r="P189" s="293"/>
      <c r="Q189" s="222"/>
      <c r="R189" s="293"/>
      <c r="S189" s="293"/>
      <c r="T189" s="293"/>
      <c r="U189" s="293"/>
      <c r="V189" s="293"/>
      <c r="W189" s="62">
        <v>150</v>
      </c>
      <c r="X189" s="62">
        <f>G189-W189</f>
        <v>0</v>
      </c>
    </row>
    <row r="190" spans="1:24" ht="15.75">
      <c r="A190" s="234" t="s">
        <v>144</v>
      </c>
      <c r="B190" s="66"/>
      <c r="C190" s="45" t="s">
        <v>172</v>
      </c>
      <c r="D190" s="45"/>
      <c r="E190" s="49"/>
      <c r="F190" s="56"/>
      <c r="G190" s="58">
        <f>G191</f>
        <v>600</v>
      </c>
      <c r="W190" s="58">
        <f>W191</f>
        <v>600</v>
      </c>
      <c r="X190" s="58">
        <f>X191</f>
        <v>0</v>
      </c>
    </row>
    <row r="191" spans="1:24" ht="15.75">
      <c r="A191" s="245" t="s">
        <v>8</v>
      </c>
      <c r="B191" s="77"/>
      <c r="C191" s="45" t="s">
        <v>172</v>
      </c>
      <c r="D191" s="45" t="s">
        <v>158</v>
      </c>
      <c r="E191" s="52"/>
      <c r="F191" s="57"/>
      <c r="G191" s="58">
        <f>G192</f>
        <v>600</v>
      </c>
      <c r="R191" s="333">
        <f>G191+G899</f>
        <v>58077.04</v>
      </c>
      <c r="W191" s="58">
        <f>W192</f>
        <v>600</v>
      </c>
      <c r="X191" s="58">
        <f>X192</f>
        <v>0</v>
      </c>
    </row>
    <row r="192" spans="1:24" ht="15.75">
      <c r="A192" s="234" t="s">
        <v>536</v>
      </c>
      <c r="B192" s="77"/>
      <c r="C192" s="45" t="s">
        <v>172</v>
      </c>
      <c r="D192" s="45" t="s">
        <v>158</v>
      </c>
      <c r="E192" s="52" t="s">
        <v>511</v>
      </c>
      <c r="F192" s="57"/>
      <c r="G192" s="58">
        <f>G194</f>
        <v>600</v>
      </c>
      <c r="W192" s="58">
        <f aca="true" t="shared" si="8" ref="W192:X194">W194</f>
        <v>600</v>
      </c>
      <c r="X192" s="58">
        <f t="shared" si="8"/>
        <v>0</v>
      </c>
    </row>
    <row r="193" spans="1:24" ht="15.75">
      <c r="A193" s="242" t="s">
        <v>513</v>
      </c>
      <c r="B193" s="77"/>
      <c r="C193" s="45" t="s">
        <v>172</v>
      </c>
      <c r="D193" s="45" t="s">
        <v>158</v>
      </c>
      <c r="E193" s="52" t="s">
        <v>281</v>
      </c>
      <c r="F193" s="57"/>
      <c r="G193" s="58">
        <f>G195</f>
        <v>600</v>
      </c>
      <c r="W193" s="58">
        <f t="shared" si="8"/>
        <v>600</v>
      </c>
      <c r="X193" s="58">
        <f t="shared" si="8"/>
        <v>0</v>
      </c>
    </row>
    <row r="194" spans="1:24" s="16" customFormat="1" ht="15.75">
      <c r="A194" s="238" t="s">
        <v>280</v>
      </c>
      <c r="B194" s="66"/>
      <c r="C194" s="48" t="s">
        <v>172</v>
      </c>
      <c r="D194" s="48" t="s">
        <v>158</v>
      </c>
      <c r="E194" s="49" t="s">
        <v>282</v>
      </c>
      <c r="F194" s="56"/>
      <c r="G194" s="62">
        <f>G196</f>
        <v>600</v>
      </c>
      <c r="H194" s="293"/>
      <c r="I194" s="293"/>
      <c r="J194" s="293"/>
      <c r="K194" s="293"/>
      <c r="L194" s="293"/>
      <c r="M194" s="293"/>
      <c r="N194" s="293"/>
      <c r="O194" s="293"/>
      <c r="P194" s="293"/>
      <c r="Q194" s="222"/>
      <c r="R194" s="293"/>
      <c r="S194" s="293"/>
      <c r="T194" s="293"/>
      <c r="U194" s="293"/>
      <c r="V194" s="293"/>
      <c r="W194" s="62">
        <f t="shared" si="8"/>
        <v>600</v>
      </c>
      <c r="X194" s="62">
        <f t="shared" si="8"/>
        <v>0</v>
      </c>
    </row>
    <row r="195" spans="1:24" ht="15.75">
      <c r="A195" s="237" t="s">
        <v>226</v>
      </c>
      <c r="B195" s="66"/>
      <c r="C195" s="48" t="s">
        <v>172</v>
      </c>
      <c r="D195" s="48" t="s">
        <v>158</v>
      </c>
      <c r="E195" s="49" t="s">
        <v>282</v>
      </c>
      <c r="F195" s="56" t="s">
        <v>188</v>
      </c>
      <c r="G195" s="62">
        <f>G196</f>
        <v>600</v>
      </c>
      <c r="W195" s="62">
        <f>W196</f>
        <v>600</v>
      </c>
      <c r="X195" s="62">
        <f>X196</f>
        <v>0</v>
      </c>
    </row>
    <row r="196" spans="1:24" ht="15.75">
      <c r="A196" s="237" t="s">
        <v>189</v>
      </c>
      <c r="B196" s="66"/>
      <c r="C196" s="48" t="s">
        <v>172</v>
      </c>
      <c r="D196" s="48" t="s">
        <v>158</v>
      </c>
      <c r="E196" s="49" t="s">
        <v>282</v>
      </c>
      <c r="F196" s="56" t="s">
        <v>187</v>
      </c>
      <c r="G196" s="62">
        <v>600</v>
      </c>
      <c r="W196" s="62">
        <v>600</v>
      </c>
      <c r="X196" s="62">
        <f>G196-W196</f>
        <v>0</v>
      </c>
    </row>
    <row r="197" spans="1:24" ht="15.75">
      <c r="A197" s="234" t="s">
        <v>155</v>
      </c>
      <c r="B197" s="66"/>
      <c r="C197" s="45" t="s">
        <v>127</v>
      </c>
      <c r="D197" s="45"/>
      <c r="E197" s="49"/>
      <c r="F197" s="56"/>
      <c r="G197" s="58">
        <f>G198</f>
        <v>1252.4</v>
      </c>
      <c r="W197" s="58">
        <f>W198</f>
        <v>220</v>
      </c>
      <c r="X197" s="58">
        <f>X198</f>
        <v>1032.4</v>
      </c>
    </row>
    <row r="198" spans="1:24" ht="15.75">
      <c r="A198" s="245" t="s">
        <v>124</v>
      </c>
      <c r="B198" s="77"/>
      <c r="C198" s="45" t="s">
        <v>127</v>
      </c>
      <c r="D198" s="45" t="s">
        <v>158</v>
      </c>
      <c r="E198" s="52"/>
      <c r="F198" s="57"/>
      <c r="G198" s="58">
        <f>G199</f>
        <v>1252.4</v>
      </c>
      <c r="R198" s="333">
        <f>G198+G677+G945</f>
        <v>24127.2</v>
      </c>
      <c r="W198" s="58">
        <f>W199</f>
        <v>220</v>
      </c>
      <c r="X198" s="58">
        <f>X199</f>
        <v>1032.4</v>
      </c>
    </row>
    <row r="199" spans="1:24" ht="15.75">
      <c r="A199" s="234" t="s">
        <v>536</v>
      </c>
      <c r="B199" s="77"/>
      <c r="C199" s="45" t="s">
        <v>127</v>
      </c>
      <c r="D199" s="45" t="s">
        <v>158</v>
      </c>
      <c r="E199" s="52" t="s">
        <v>511</v>
      </c>
      <c r="F199" s="57"/>
      <c r="G199" s="58">
        <f>G201</f>
        <v>1252.4</v>
      </c>
      <c r="W199" s="58">
        <f aca="true" t="shared" si="9" ref="W199:X201">W201</f>
        <v>220</v>
      </c>
      <c r="X199" s="58">
        <f t="shared" si="9"/>
        <v>1032.4</v>
      </c>
    </row>
    <row r="200" spans="1:24" ht="31.5">
      <c r="A200" s="242" t="s">
        <v>311</v>
      </c>
      <c r="B200" s="77"/>
      <c r="C200" s="45" t="s">
        <v>127</v>
      </c>
      <c r="D200" s="45" t="s">
        <v>158</v>
      </c>
      <c r="E200" s="52" t="s">
        <v>278</v>
      </c>
      <c r="F200" s="57"/>
      <c r="G200" s="58">
        <f>G202</f>
        <v>1252.4</v>
      </c>
      <c r="W200" s="58">
        <f t="shared" si="9"/>
        <v>220</v>
      </c>
      <c r="X200" s="58">
        <f t="shared" si="9"/>
        <v>1032.4</v>
      </c>
    </row>
    <row r="201" spans="1:24" s="16" customFormat="1" ht="15.75">
      <c r="A201" s="238" t="s">
        <v>280</v>
      </c>
      <c r="B201" s="66"/>
      <c r="C201" s="48" t="s">
        <v>127</v>
      </c>
      <c r="D201" s="48" t="s">
        <v>158</v>
      </c>
      <c r="E201" s="49" t="s">
        <v>279</v>
      </c>
      <c r="F201" s="56"/>
      <c r="G201" s="62">
        <f>G203</f>
        <v>1252.4</v>
      </c>
      <c r="H201" s="293"/>
      <c r="I201" s="293"/>
      <c r="J201" s="293"/>
      <c r="K201" s="293"/>
      <c r="L201" s="293"/>
      <c r="M201" s="293"/>
      <c r="N201" s="293"/>
      <c r="O201" s="293"/>
      <c r="P201" s="293"/>
      <c r="Q201" s="222"/>
      <c r="R201" s="293"/>
      <c r="S201" s="293"/>
      <c r="T201" s="293"/>
      <c r="U201" s="293"/>
      <c r="V201" s="293"/>
      <c r="W201" s="62">
        <f t="shared" si="9"/>
        <v>220</v>
      </c>
      <c r="X201" s="62">
        <f t="shared" si="9"/>
        <v>1032.4</v>
      </c>
    </row>
    <row r="202" spans="1:24" ht="15.75">
      <c r="A202" s="238" t="s">
        <v>89</v>
      </c>
      <c r="B202" s="66"/>
      <c r="C202" s="48" t="s">
        <v>127</v>
      </c>
      <c r="D202" s="48" t="s">
        <v>158</v>
      </c>
      <c r="E202" s="49" t="s">
        <v>279</v>
      </c>
      <c r="F202" s="56" t="s">
        <v>85</v>
      </c>
      <c r="G202" s="62">
        <f>G203</f>
        <v>1252.4</v>
      </c>
      <c r="W202" s="62">
        <f>W203</f>
        <v>220</v>
      </c>
      <c r="X202" s="62">
        <f>X203</f>
        <v>1032.4</v>
      </c>
    </row>
    <row r="203" spans="1:24" ht="15.75">
      <c r="A203" s="238" t="s">
        <v>84</v>
      </c>
      <c r="B203" s="66"/>
      <c r="C203" s="48" t="s">
        <v>127</v>
      </c>
      <c r="D203" s="48" t="s">
        <v>158</v>
      </c>
      <c r="E203" s="49" t="s">
        <v>279</v>
      </c>
      <c r="F203" s="56" t="s">
        <v>86</v>
      </c>
      <c r="G203" s="62">
        <v>1252.4</v>
      </c>
      <c r="W203" s="62">
        <f>220</f>
        <v>220</v>
      </c>
      <c r="X203" s="62">
        <f>G203-W203</f>
        <v>1032.4</v>
      </c>
    </row>
    <row r="204" spans="1:24" ht="15.75">
      <c r="A204" s="293" t="s">
        <v>111</v>
      </c>
      <c r="B204" s="77"/>
      <c r="C204" s="45" t="s">
        <v>123</v>
      </c>
      <c r="D204" s="45"/>
      <c r="E204" s="52"/>
      <c r="F204" s="57"/>
      <c r="G204" s="58">
        <f aca="true" t="shared" si="10" ref="G204:G209">G205</f>
        <v>2495.125</v>
      </c>
      <c r="H204" s="58">
        <f aca="true" t="shared" si="11" ref="H204:X204">H205</f>
        <v>0</v>
      </c>
      <c r="I204" s="58">
        <f t="shared" si="11"/>
        <v>0</v>
      </c>
      <c r="J204" s="58">
        <f t="shared" si="11"/>
        <v>0</v>
      </c>
      <c r="K204" s="58">
        <f t="shared" si="11"/>
        <v>0</v>
      </c>
      <c r="L204" s="58">
        <f t="shared" si="11"/>
        <v>0</v>
      </c>
      <c r="M204" s="58">
        <f t="shared" si="11"/>
        <v>0</v>
      </c>
      <c r="N204" s="58">
        <f t="shared" si="11"/>
        <v>0</v>
      </c>
      <c r="O204" s="58">
        <f t="shared" si="11"/>
        <v>0</v>
      </c>
      <c r="P204" s="58">
        <f t="shared" si="11"/>
        <v>0</v>
      </c>
      <c r="Q204" s="58">
        <f t="shared" si="11"/>
        <v>0</v>
      </c>
      <c r="R204" s="58">
        <f t="shared" si="11"/>
        <v>0</v>
      </c>
      <c r="S204" s="58">
        <f t="shared" si="11"/>
        <v>0</v>
      </c>
      <c r="T204" s="58">
        <f t="shared" si="11"/>
        <v>0</v>
      </c>
      <c r="U204" s="58">
        <f t="shared" si="11"/>
        <v>0</v>
      </c>
      <c r="V204" s="58">
        <f t="shared" si="11"/>
        <v>0</v>
      </c>
      <c r="W204" s="58">
        <f t="shared" si="11"/>
        <v>2845.5</v>
      </c>
      <c r="X204" s="58">
        <f t="shared" si="11"/>
        <v>-350.375</v>
      </c>
    </row>
    <row r="205" spans="1:24" ht="15.75">
      <c r="A205" s="256" t="s">
        <v>385</v>
      </c>
      <c r="B205" s="77"/>
      <c r="C205" s="45" t="s">
        <v>123</v>
      </c>
      <c r="D205" s="45" t="s">
        <v>157</v>
      </c>
      <c r="E205" s="52"/>
      <c r="F205" s="57"/>
      <c r="G205" s="58">
        <f t="shared" si="10"/>
        <v>2495.125</v>
      </c>
      <c r="H205" s="58">
        <f aca="true" t="shared" si="12" ref="H205:X205">H206</f>
        <v>0</v>
      </c>
      <c r="I205" s="58">
        <f t="shared" si="12"/>
        <v>0</v>
      </c>
      <c r="J205" s="58">
        <f t="shared" si="12"/>
        <v>0</v>
      </c>
      <c r="K205" s="58">
        <f t="shared" si="12"/>
        <v>0</v>
      </c>
      <c r="L205" s="58">
        <f t="shared" si="12"/>
        <v>0</v>
      </c>
      <c r="M205" s="58">
        <f t="shared" si="12"/>
        <v>0</v>
      </c>
      <c r="N205" s="58">
        <f t="shared" si="12"/>
        <v>0</v>
      </c>
      <c r="O205" s="58">
        <f t="shared" si="12"/>
        <v>0</v>
      </c>
      <c r="P205" s="58">
        <f t="shared" si="12"/>
        <v>0</v>
      </c>
      <c r="Q205" s="58">
        <f t="shared" si="12"/>
        <v>0</v>
      </c>
      <c r="R205" s="58">
        <f t="shared" si="12"/>
        <v>0</v>
      </c>
      <c r="S205" s="58">
        <f t="shared" si="12"/>
        <v>0</v>
      </c>
      <c r="T205" s="58">
        <f t="shared" si="12"/>
        <v>0</v>
      </c>
      <c r="U205" s="58">
        <f t="shared" si="12"/>
        <v>0</v>
      </c>
      <c r="V205" s="58">
        <f t="shared" si="12"/>
        <v>0</v>
      </c>
      <c r="W205" s="58">
        <f>W206</f>
        <v>2845.5</v>
      </c>
      <c r="X205" s="58">
        <f t="shared" si="12"/>
        <v>-350.375</v>
      </c>
    </row>
    <row r="206" spans="1:24" ht="31.5">
      <c r="A206" s="234" t="s">
        <v>489</v>
      </c>
      <c r="B206" s="77"/>
      <c r="C206" s="45" t="s">
        <v>123</v>
      </c>
      <c r="D206" s="45" t="s">
        <v>157</v>
      </c>
      <c r="E206" s="96" t="s">
        <v>10</v>
      </c>
      <c r="F206" s="57"/>
      <c r="G206" s="58">
        <f t="shared" si="10"/>
        <v>2495.125</v>
      </c>
      <c r="H206" s="58">
        <f aca="true" t="shared" si="13" ref="H206:X206">H207</f>
        <v>0</v>
      </c>
      <c r="I206" s="58">
        <f t="shared" si="13"/>
        <v>0</v>
      </c>
      <c r="J206" s="58">
        <f t="shared" si="13"/>
        <v>0</v>
      </c>
      <c r="K206" s="58">
        <f t="shared" si="13"/>
        <v>0</v>
      </c>
      <c r="L206" s="58">
        <f t="shared" si="13"/>
        <v>0</v>
      </c>
      <c r="M206" s="58">
        <f t="shared" si="13"/>
        <v>0</v>
      </c>
      <c r="N206" s="58">
        <f t="shared" si="13"/>
        <v>0</v>
      </c>
      <c r="O206" s="58">
        <f t="shared" si="13"/>
        <v>0</v>
      </c>
      <c r="P206" s="58">
        <f t="shared" si="13"/>
        <v>0</v>
      </c>
      <c r="Q206" s="58">
        <f t="shared" si="13"/>
        <v>0</v>
      </c>
      <c r="R206" s="58">
        <f t="shared" si="13"/>
        <v>0</v>
      </c>
      <c r="S206" s="58">
        <f t="shared" si="13"/>
        <v>0</v>
      </c>
      <c r="T206" s="58">
        <f t="shared" si="13"/>
        <v>0</v>
      </c>
      <c r="U206" s="58">
        <f t="shared" si="13"/>
        <v>0</v>
      </c>
      <c r="V206" s="58">
        <f t="shared" si="13"/>
        <v>0</v>
      </c>
      <c r="W206" s="58">
        <f>W207</f>
        <v>2845.5</v>
      </c>
      <c r="X206" s="58">
        <f t="shared" si="13"/>
        <v>-350.375</v>
      </c>
    </row>
    <row r="207" spans="1:24" ht="15.75">
      <c r="A207" s="234" t="s">
        <v>516</v>
      </c>
      <c r="B207" s="77"/>
      <c r="C207" s="45" t="s">
        <v>123</v>
      </c>
      <c r="D207" s="45" t="s">
        <v>157</v>
      </c>
      <c r="E207" s="52" t="s">
        <v>60</v>
      </c>
      <c r="F207" s="57"/>
      <c r="G207" s="58">
        <f t="shared" si="10"/>
        <v>2495.125</v>
      </c>
      <c r="H207" s="58">
        <f aca="true" t="shared" si="14" ref="H207:X207">H208</f>
        <v>0</v>
      </c>
      <c r="I207" s="58">
        <f t="shared" si="14"/>
        <v>0</v>
      </c>
      <c r="J207" s="58">
        <f t="shared" si="14"/>
        <v>0</v>
      </c>
      <c r="K207" s="58">
        <f t="shared" si="14"/>
        <v>0</v>
      </c>
      <c r="L207" s="58">
        <f t="shared" si="14"/>
        <v>0</v>
      </c>
      <c r="M207" s="58">
        <f t="shared" si="14"/>
        <v>0</v>
      </c>
      <c r="N207" s="58">
        <f t="shared" si="14"/>
        <v>0</v>
      </c>
      <c r="O207" s="58">
        <f t="shared" si="14"/>
        <v>0</v>
      </c>
      <c r="P207" s="58">
        <f t="shared" si="14"/>
        <v>0</v>
      </c>
      <c r="Q207" s="58">
        <f t="shared" si="14"/>
        <v>0</v>
      </c>
      <c r="R207" s="58">
        <f t="shared" si="14"/>
        <v>0</v>
      </c>
      <c r="S207" s="58">
        <f t="shared" si="14"/>
        <v>0</v>
      </c>
      <c r="T207" s="58">
        <f t="shared" si="14"/>
        <v>0</v>
      </c>
      <c r="U207" s="58">
        <f t="shared" si="14"/>
        <v>0</v>
      </c>
      <c r="V207" s="58">
        <f t="shared" si="14"/>
        <v>0</v>
      </c>
      <c r="W207" s="58">
        <f>W208</f>
        <v>2845.5</v>
      </c>
      <c r="X207" s="58">
        <f t="shared" si="14"/>
        <v>-350.375</v>
      </c>
    </row>
    <row r="208" spans="1:24" ht="15.75">
      <c r="A208" s="238" t="s">
        <v>102</v>
      </c>
      <c r="B208" s="66"/>
      <c r="C208" s="48" t="s">
        <v>123</v>
      </c>
      <c r="D208" s="48" t="s">
        <v>157</v>
      </c>
      <c r="E208" s="49" t="s">
        <v>59</v>
      </c>
      <c r="F208" s="56"/>
      <c r="G208" s="62">
        <f t="shared" si="10"/>
        <v>2495.125</v>
      </c>
      <c r="H208" s="62">
        <f aca="true" t="shared" si="15" ref="H208:X208">H209</f>
        <v>0</v>
      </c>
      <c r="I208" s="62">
        <f t="shared" si="15"/>
        <v>0</v>
      </c>
      <c r="J208" s="62">
        <f t="shared" si="15"/>
        <v>0</v>
      </c>
      <c r="K208" s="62">
        <f t="shared" si="15"/>
        <v>0</v>
      </c>
      <c r="L208" s="62">
        <f t="shared" si="15"/>
        <v>0</v>
      </c>
      <c r="M208" s="62">
        <f t="shared" si="15"/>
        <v>0</v>
      </c>
      <c r="N208" s="62">
        <f t="shared" si="15"/>
        <v>0</v>
      </c>
      <c r="O208" s="62">
        <f t="shared" si="15"/>
        <v>0</v>
      </c>
      <c r="P208" s="62">
        <f t="shared" si="15"/>
        <v>0</v>
      </c>
      <c r="Q208" s="62">
        <f t="shared" si="15"/>
        <v>0</v>
      </c>
      <c r="R208" s="62">
        <f t="shared" si="15"/>
        <v>0</v>
      </c>
      <c r="S208" s="62">
        <f t="shared" si="15"/>
        <v>0</v>
      </c>
      <c r="T208" s="62">
        <f t="shared" si="15"/>
        <v>0</v>
      </c>
      <c r="U208" s="62">
        <f t="shared" si="15"/>
        <v>0</v>
      </c>
      <c r="V208" s="62">
        <f t="shared" si="15"/>
        <v>0</v>
      </c>
      <c r="W208" s="62">
        <f>W209</f>
        <v>2845.5</v>
      </c>
      <c r="X208" s="62">
        <f t="shared" si="15"/>
        <v>-350.375</v>
      </c>
    </row>
    <row r="209" spans="1:24" ht="15.75">
      <c r="A209" s="238" t="s">
        <v>111</v>
      </c>
      <c r="B209" s="66"/>
      <c r="C209" s="48" t="s">
        <v>123</v>
      </c>
      <c r="D209" s="48" t="s">
        <v>157</v>
      </c>
      <c r="E209" s="49" t="s">
        <v>59</v>
      </c>
      <c r="F209" s="56" t="s">
        <v>113</v>
      </c>
      <c r="G209" s="62">
        <f t="shared" si="10"/>
        <v>2495.125</v>
      </c>
      <c r="H209" s="62">
        <f aca="true" t="shared" si="16" ref="H209:X209">H210</f>
        <v>0</v>
      </c>
      <c r="I209" s="62">
        <f t="shared" si="16"/>
        <v>0</v>
      </c>
      <c r="J209" s="62">
        <f t="shared" si="16"/>
        <v>0</v>
      </c>
      <c r="K209" s="62">
        <f t="shared" si="16"/>
        <v>0</v>
      </c>
      <c r="L209" s="62">
        <f t="shared" si="16"/>
        <v>0</v>
      </c>
      <c r="M209" s="62">
        <f t="shared" si="16"/>
        <v>0</v>
      </c>
      <c r="N209" s="62">
        <f t="shared" si="16"/>
        <v>0</v>
      </c>
      <c r="O209" s="62">
        <f t="shared" si="16"/>
        <v>0</v>
      </c>
      <c r="P209" s="62">
        <f t="shared" si="16"/>
        <v>0</v>
      </c>
      <c r="Q209" s="62">
        <f t="shared" si="16"/>
        <v>0</v>
      </c>
      <c r="R209" s="62">
        <f t="shared" si="16"/>
        <v>0</v>
      </c>
      <c r="S209" s="62">
        <f t="shared" si="16"/>
        <v>0</v>
      </c>
      <c r="T209" s="62">
        <f t="shared" si="16"/>
        <v>0</v>
      </c>
      <c r="U209" s="62">
        <f t="shared" si="16"/>
        <v>0</v>
      </c>
      <c r="V209" s="62">
        <f t="shared" si="16"/>
        <v>0</v>
      </c>
      <c r="W209" s="62">
        <f>W210</f>
        <v>2845.5</v>
      </c>
      <c r="X209" s="62">
        <f t="shared" si="16"/>
        <v>-350.375</v>
      </c>
    </row>
    <row r="210" spans="1:24" ht="15.75">
      <c r="A210" s="238" t="s">
        <v>112</v>
      </c>
      <c r="B210" s="66"/>
      <c r="C210" s="48" t="s">
        <v>123</v>
      </c>
      <c r="D210" s="48" t="s">
        <v>157</v>
      </c>
      <c r="E210" s="49" t="s">
        <v>59</v>
      </c>
      <c r="F210" s="56" t="s">
        <v>114</v>
      </c>
      <c r="G210" s="62">
        <f>2845.525-350.4</f>
        <v>2495.125</v>
      </c>
      <c r="W210" s="62">
        <v>2845.5</v>
      </c>
      <c r="X210" s="62">
        <f>G210-W210</f>
        <v>-350.375</v>
      </c>
    </row>
    <row r="211" spans="1:24" ht="31.5">
      <c r="A211" s="254" t="s">
        <v>519</v>
      </c>
      <c r="B211" s="111" t="s">
        <v>181</v>
      </c>
      <c r="C211" s="201"/>
      <c r="D211" s="201"/>
      <c r="E211" s="202"/>
      <c r="F211" s="203"/>
      <c r="G211" s="314">
        <f>G212+G238+G246</f>
        <v>108321.8</v>
      </c>
      <c r="R211" s="333">
        <f>G216+G223+G227+G232+G235+G241+G250</f>
        <v>108321.8</v>
      </c>
      <c r="W211" s="314">
        <f>W212+W238+W246</f>
        <v>110118.2</v>
      </c>
      <c r="X211" s="314">
        <f>X212+X238+X246</f>
        <v>-1796.4</v>
      </c>
    </row>
    <row r="212" spans="1:24" ht="15.75">
      <c r="A212" s="234" t="s">
        <v>131</v>
      </c>
      <c r="B212" s="97"/>
      <c r="C212" s="290" t="s">
        <v>157</v>
      </c>
      <c r="D212" s="290"/>
      <c r="E212" s="291"/>
      <c r="F212" s="292"/>
      <c r="G212" s="58">
        <f>G213+G221+G230</f>
        <v>99844.5</v>
      </c>
      <c r="W212" s="58">
        <f>W213+W221+W230</f>
        <v>99844.5</v>
      </c>
      <c r="X212" s="58">
        <f>X213+X221+X230</f>
        <v>0</v>
      </c>
    </row>
    <row r="213" spans="1:24" ht="31.5">
      <c r="A213" s="234" t="s">
        <v>154</v>
      </c>
      <c r="B213" s="47"/>
      <c r="C213" s="45" t="s">
        <v>157</v>
      </c>
      <c r="D213" s="45" t="s">
        <v>130</v>
      </c>
      <c r="E213" s="52" t="s">
        <v>175</v>
      </c>
      <c r="F213" s="57"/>
      <c r="G213" s="58">
        <f>G214</f>
        <v>13524.800000000001</v>
      </c>
      <c r="R213" s="333">
        <f>G213+G816</f>
        <v>16164.100000000002</v>
      </c>
      <c r="W213" s="58">
        <f aca="true" t="shared" si="17" ref="W213:X215">W214</f>
        <v>13524.800000000001</v>
      </c>
      <c r="X213" s="58">
        <f t="shared" si="17"/>
        <v>0</v>
      </c>
    </row>
    <row r="214" spans="1:24" ht="32.25" customHeight="1">
      <c r="A214" s="234" t="s">
        <v>489</v>
      </c>
      <c r="B214" s="95"/>
      <c r="C214" s="45" t="s">
        <v>157</v>
      </c>
      <c r="D214" s="45" t="s">
        <v>130</v>
      </c>
      <c r="E214" s="96" t="s">
        <v>10</v>
      </c>
      <c r="F214" s="57"/>
      <c r="G214" s="58">
        <f>G215</f>
        <v>13524.800000000001</v>
      </c>
      <c r="R214" s="333"/>
      <c r="W214" s="58">
        <f t="shared" si="17"/>
        <v>13524.800000000001</v>
      </c>
      <c r="X214" s="58">
        <f t="shared" si="17"/>
        <v>0</v>
      </c>
    </row>
    <row r="215" spans="1:24" ht="31.5">
      <c r="A215" s="234" t="s">
        <v>515</v>
      </c>
      <c r="B215" s="95"/>
      <c r="C215" s="45" t="s">
        <v>157</v>
      </c>
      <c r="D215" s="45" t="s">
        <v>130</v>
      </c>
      <c r="E215" s="52" t="s">
        <v>62</v>
      </c>
      <c r="F215" s="57"/>
      <c r="G215" s="58">
        <f>G216</f>
        <v>13524.800000000001</v>
      </c>
      <c r="W215" s="58">
        <f t="shared" si="17"/>
        <v>13524.800000000001</v>
      </c>
      <c r="X215" s="58">
        <f t="shared" si="17"/>
        <v>0</v>
      </c>
    </row>
    <row r="216" spans="1:24" ht="15.75">
      <c r="A216" s="238" t="s">
        <v>115</v>
      </c>
      <c r="B216" s="47"/>
      <c r="C216" s="48" t="s">
        <v>157</v>
      </c>
      <c r="D216" s="48" t="s">
        <v>130</v>
      </c>
      <c r="E216" s="49" t="s">
        <v>63</v>
      </c>
      <c r="F216" s="56"/>
      <c r="G216" s="62">
        <f>G217+G219</f>
        <v>13524.800000000001</v>
      </c>
      <c r="W216" s="62">
        <f>W217+W219</f>
        <v>13524.800000000001</v>
      </c>
      <c r="X216" s="62">
        <f>X217+X219</f>
        <v>0</v>
      </c>
    </row>
    <row r="217" spans="1:24" ht="47.25">
      <c r="A217" s="237" t="s">
        <v>116</v>
      </c>
      <c r="B217" s="47"/>
      <c r="C217" s="48" t="s">
        <v>157</v>
      </c>
      <c r="D217" s="48" t="s">
        <v>130</v>
      </c>
      <c r="E217" s="49" t="s">
        <v>63</v>
      </c>
      <c r="F217" s="56" t="s">
        <v>198</v>
      </c>
      <c r="G217" s="62">
        <f>G218</f>
        <v>12677.6</v>
      </c>
      <c r="W217" s="62">
        <f>W218</f>
        <v>12677.6</v>
      </c>
      <c r="X217" s="62">
        <f>X218</f>
        <v>0</v>
      </c>
    </row>
    <row r="218" spans="1:24" ht="15.75">
      <c r="A218" s="237" t="s">
        <v>193</v>
      </c>
      <c r="B218" s="55"/>
      <c r="C218" s="48" t="s">
        <v>157</v>
      </c>
      <c r="D218" s="48" t="s">
        <v>130</v>
      </c>
      <c r="E218" s="49" t="s">
        <v>63</v>
      </c>
      <c r="F218" s="56" t="s">
        <v>194</v>
      </c>
      <c r="G218" s="62">
        <f>12377.6+300</f>
        <v>12677.6</v>
      </c>
      <c r="W218" s="62">
        <f>12377.6+300</f>
        <v>12677.6</v>
      </c>
      <c r="X218" s="62">
        <f>G218-W218</f>
        <v>0</v>
      </c>
    </row>
    <row r="219" spans="1:24" ht="15.75">
      <c r="A219" s="237" t="s">
        <v>226</v>
      </c>
      <c r="B219" s="55"/>
      <c r="C219" s="48" t="s">
        <v>157</v>
      </c>
      <c r="D219" s="48" t="s">
        <v>130</v>
      </c>
      <c r="E219" s="49" t="s">
        <v>63</v>
      </c>
      <c r="F219" s="56" t="s">
        <v>188</v>
      </c>
      <c r="G219" s="62">
        <f>G220</f>
        <v>847.2</v>
      </c>
      <c r="W219" s="62">
        <f>W220</f>
        <v>847.2</v>
      </c>
      <c r="X219" s="62">
        <f>X220</f>
        <v>0</v>
      </c>
    </row>
    <row r="220" spans="1:24" ht="15.75">
      <c r="A220" s="237" t="s">
        <v>189</v>
      </c>
      <c r="B220" s="55"/>
      <c r="C220" s="48" t="s">
        <v>157</v>
      </c>
      <c r="D220" s="48" t="s">
        <v>130</v>
      </c>
      <c r="E220" s="49" t="s">
        <v>63</v>
      </c>
      <c r="F220" s="56" t="s">
        <v>187</v>
      </c>
      <c r="G220" s="62">
        <v>847.2</v>
      </c>
      <c r="W220" s="62">
        <v>847.2</v>
      </c>
      <c r="X220" s="62">
        <f>G220-W220</f>
        <v>0</v>
      </c>
    </row>
    <row r="221" spans="1:24" ht="15.75">
      <c r="A221" s="234" t="s">
        <v>163</v>
      </c>
      <c r="B221" s="47"/>
      <c r="C221" s="45" t="s">
        <v>157</v>
      </c>
      <c r="D221" s="45" t="s">
        <v>156</v>
      </c>
      <c r="E221" s="52"/>
      <c r="F221" s="57"/>
      <c r="G221" s="58">
        <f>G222+G226</f>
        <v>28650.7</v>
      </c>
      <c r="W221" s="58">
        <f>W222+W226</f>
        <v>28650.7</v>
      </c>
      <c r="X221" s="58">
        <f>X222+X226</f>
        <v>0</v>
      </c>
    </row>
    <row r="222" spans="1:24" ht="15.75">
      <c r="A222" s="234" t="s">
        <v>320</v>
      </c>
      <c r="B222" s="51"/>
      <c r="C222" s="45" t="s">
        <v>157</v>
      </c>
      <c r="D222" s="45" t="s">
        <v>156</v>
      </c>
      <c r="E222" s="52" t="s">
        <v>64</v>
      </c>
      <c r="F222" s="57"/>
      <c r="G222" s="58">
        <f>G223</f>
        <v>350</v>
      </c>
      <c r="W222" s="58">
        <f aca="true" t="shared" si="18" ref="W222:X224">W223</f>
        <v>350</v>
      </c>
      <c r="X222" s="58">
        <f t="shared" si="18"/>
        <v>0</v>
      </c>
    </row>
    <row r="223" spans="1:24" ht="15.75">
      <c r="A223" s="238" t="s">
        <v>375</v>
      </c>
      <c r="B223" s="167"/>
      <c r="C223" s="48" t="s">
        <v>157</v>
      </c>
      <c r="D223" s="48" t="s">
        <v>156</v>
      </c>
      <c r="E223" s="49" t="s">
        <v>65</v>
      </c>
      <c r="F223" s="66"/>
      <c r="G223" s="62">
        <f>G224</f>
        <v>350</v>
      </c>
      <c r="W223" s="62">
        <f t="shared" si="18"/>
        <v>350</v>
      </c>
      <c r="X223" s="62">
        <f t="shared" si="18"/>
        <v>0</v>
      </c>
    </row>
    <row r="224" spans="1:24" ht="15.75">
      <c r="A224" s="238" t="s">
        <v>90</v>
      </c>
      <c r="B224" s="167"/>
      <c r="C224" s="48" t="s">
        <v>157</v>
      </c>
      <c r="D224" s="48" t="s">
        <v>156</v>
      </c>
      <c r="E224" s="49" t="s">
        <v>65</v>
      </c>
      <c r="F224" s="66">
        <v>800</v>
      </c>
      <c r="G224" s="62">
        <f>G225</f>
        <v>350</v>
      </c>
      <c r="W224" s="62">
        <f t="shared" si="18"/>
        <v>350</v>
      </c>
      <c r="X224" s="62">
        <f t="shared" si="18"/>
        <v>0</v>
      </c>
    </row>
    <row r="225" spans="1:24" ht="15.75">
      <c r="A225" s="238" t="s">
        <v>91</v>
      </c>
      <c r="B225" s="167"/>
      <c r="C225" s="48" t="s">
        <v>157</v>
      </c>
      <c r="D225" s="48" t="s">
        <v>156</v>
      </c>
      <c r="E225" s="49" t="s">
        <v>65</v>
      </c>
      <c r="F225" s="66">
        <v>870</v>
      </c>
      <c r="G225" s="62">
        <v>350</v>
      </c>
      <c r="W225" s="62">
        <v>350</v>
      </c>
      <c r="X225" s="62">
        <f>G225-W225</f>
        <v>0</v>
      </c>
    </row>
    <row r="226" spans="1:24" ht="15.75">
      <c r="A226" s="234" t="s">
        <v>312</v>
      </c>
      <c r="B226" s="51"/>
      <c r="C226" s="45" t="s">
        <v>157</v>
      </c>
      <c r="D226" s="45" t="s">
        <v>156</v>
      </c>
      <c r="E226" s="52" t="s">
        <v>285</v>
      </c>
      <c r="F226" s="66"/>
      <c r="G226" s="58">
        <f>G227</f>
        <v>28300.7</v>
      </c>
      <c r="W226" s="58">
        <f aca="true" t="shared" si="19" ref="W226:X228">W227</f>
        <v>28300.7</v>
      </c>
      <c r="X226" s="58">
        <f t="shared" si="19"/>
        <v>0</v>
      </c>
    </row>
    <row r="227" spans="1:24" ht="15.75">
      <c r="A227" s="238" t="s">
        <v>634</v>
      </c>
      <c r="B227" s="167"/>
      <c r="C227" s="48" t="s">
        <v>157</v>
      </c>
      <c r="D227" s="48" t="s">
        <v>156</v>
      </c>
      <c r="E227" s="49" t="s">
        <v>608</v>
      </c>
      <c r="F227" s="66"/>
      <c r="G227" s="62">
        <f>G228</f>
        <v>28300.7</v>
      </c>
      <c r="W227" s="62">
        <f t="shared" si="19"/>
        <v>28300.7</v>
      </c>
      <c r="X227" s="62">
        <f t="shared" si="19"/>
        <v>0</v>
      </c>
    </row>
    <row r="228" spans="1:24" ht="15.75">
      <c r="A228" s="238" t="s">
        <v>90</v>
      </c>
      <c r="B228" s="167"/>
      <c r="C228" s="48" t="s">
        <v>157</v>
      </c>
      <c r="D228" s="48" t="s">
        <v>156</v>
      </c>
      <c r="E228" s="49" t="s">
        <v>608</v>
      </c>
      <c r="F228" s="66">
        <v>800</v>
      </c>
      <c r="G228" s="62">
        <f>G229</f>
        <v>28300.7</v>
      </c>
      <c r="W228" s="62">
        <f t="shared" si="19"/>
        <v>28300.7</v>
      </c>
      <c r="X228" s="62">
        <f t="shared" si="19"/>
        <v>0</v>
      </c>
    </row>
    <row r="229" spans="1:24" ht="15.75">
      <c r="A229" s="238" t="s">
        <v>91</v>
      </c>
      <c r="B229" s="167"/>
      <c r="C229" s="48" t="s">
        <v>157</v>
      </c>
      <c r="D229" s="48" t="s">
        <v>156</v>
      </c>
      <c r="E229" s="49" t="s">
        <v>608</v>
      </c>
      <c r="F229" s="66">
        <v>870</v>
      </c>
      <c r="G229" s="62">
        <f>20566.2+7734.5</f>
        <v>28300.7</v>
      </c>
      <c r="W229" s="62">
        <f>20566.2+7734.5</f>
        <v>28300.7</v>
      </c>
      <c r="X229" s="62">
        <f>G229-W229</f>
        <v>0</v>
      </c>
    </row>
    <row r="230" spans="1:24" ht="15.75">
      <c r="A230" s="234" t="s">
        <v>142</v>
      </c>
      <c r="B230" s="47"/>
      <c r="C230" s="45" t="s">
        <v>157</v>
      </c>
      <c r="D230" s="45" t="s">
        <v>123</v>
      </c>
      <c r="E230" s="52"/>
      <c r="F230" s="57"/>
      <c r="G230" s="58">
        <f>G231</f>
        <v>57669</v>
      </c>
      <c r="W230" s="58">
        <f>W231</f>
        <v>57669</v>
      </c>
      <c r="X230" s="58">
        <f>X231</f>
        <v>0</v>
      </c>
    </row>
    <row r="231" spans="1:24" ht="15.75">
      <c r="A231" s="234" t="s">
        <v>312</v>
      </c>
      <c r="B231" s="51"/>
      <c r="C231" s="45" t="s">
        <v>157</v>
      </c>
      <c r="D231" s="45" t="s">
        <v>123</v>
      </c>
      <c r="E231" s="52" t="s">
        <v>285</v>
      </c>
      <c r="F231" s="57"/>
      <c r="G231" s="58">
        <f>G232+G235</f>
        <v>57669</v>
      </c>
      <c r="W231" s="58">
        <f>W232+W235</f>
        <v>57669</v>
      </c>
      <c r="X231" s="58">
        <f>X232+X235</f>
        <v>0</v>
      </c>
    </row>
    <row r="232" spans="1:24" ht="15.75">
      <c r="A232" s="244" t="s">
        <v>243</v>
      </c>
      <c r="B232" s="167"/>
      <c r="C232" s="48" t="s">
        <v>157</v>
      </c>
      <c r="D232" s="48" t="s">
        <v>123</v>
      </c>
      <c r="E232" s="81" t="s">
        <v>287</v>
      </c>
      <c r="F232" s="66"/>
      <c r="G232" s="62">
        <f>G233</f>
        <v>655</v>
      </c>
      <c r="W232" s="62">
        <f>W233</f>
        <v>655</v>
      </c>
      <c r="X232" s="62">
        <f>X233</f>
        <v>0</v>
      </c>
    </row>
    <row r="233" spans="1:24" ht="15.75">
      <c r="A233" s="244" t="s">
        <v>90</v>
      </c>
      <c r="B233" s="167"/>
      <c r="C233" s="48" t="s">
        <v>157</v>
      </c>
      <c r="D233" s="48" t="s">
        <v>123</v>
      </c>
      <c r="E233" s="81" t="s">
        <v>287</v>
      </c>
      <c r="F233" s="66">
        <v>800</v>
      </c>
      <c r="G233" s="62">
        <f>G234</f>
        <v>655</v>
      </c>
      <c r="W233" s="62">
        <f>W234</f>
        <v>655</v>
      </c>
      <c r="X233" s="62">
        <f>X234</f>
        <v>0</v>
      </c>
    </row>
    <row r="234" spans="1:24" ht="15.75">
      <c r="A234" s="244" t="s">
        <v>288</v>
      </c>
      <c r="B234" s="167"/>
      <c r="C234" s="48" t="s">
        <v>157</v>
      </c>
      <c r="D234" s="48" t="s">
        <v>123</v>
      </c>
      <c r="E234" s="81" t="s">
        <v>287</v>
      </c>
      <c r="F234" s="66">
        <v>830</v>
      </c>
      <c r="G234" s="62">
        <v>655</v>
      </c>
      <c r="W234" s="62">
        <v>655</v>
      </c>
      <c r="X234" s="62">
        <f>G234-W234</f>
        <v>0</v>
      </c>
    </row>
    <row r="235" spans="1:24" ht="31.5">
      <c r="A235" s="255" t="s">
        <v>486</v>
      </c>
      <c r="B235" s="167"/>
      <c r="C235" s="48" t="s">
        <v>157</v>
      </c>
      <c r="D235" s="48" t="s">
        <v>123</v>
      </c>
      <c r="E235" s="56" t="s">
        <v>517</v>
      </c>
      <c r="F235" s="56"/>
      <c r="G235" s="62">
        <f>G236</f>
        <v>57014</v>
      </c>
      <c r="W235" s="62">
        <f>W236</f>
        <v>57014</v>
      </c>
      <c r="X235" s="62">
        <f>X236</f>
        <v>0</v>
      </c>
    </row>
    <row r="236" spans="1:24" ht="15.75">
      <c r="A236" s="237" t="s">
        <v>226</v>
      </c>
      <c r="B236" s="167"/>
      <c r="C236" s="48" t="s">
        <v>157</v>
      </c>
      <c r="D236" s="48" t="s">
        <v>123</v>
      </c>
      <c r="E236" s="56" t="s">
        <v>517</v>
      </c>
      <c r="F236" s="56" t="s">
        <v>188</v>
      </c>
      <c r="G236" s="62">
        <f>G237</f>
        <v>57014</v>
      </c>
      <c r="W236" s="62">
        <f>W237</f>
        <v>57014</v>
      </c>
      <c r="X236" s="62">
        <f>X237</f>
        <v>0</v>
      </c>
    </row>
    <row r="237" spans="1:24" ht="15.75">
      <c r="A237" s="237" t="s">
        <v>189</v>
      </c>
      <c r="B237" s="167"/>
      <c r="C237" s="48" t="s">
        <v>157</v>
      </c>
      <c r="D237" s="48" t="s">
        <v>123</v>
      </c>
      <c r="E237" s="56" t="s">
        <v>517</v>
      </c>
      <c r="F237" s="56" t="s">
        <v>187</v>
      </c>
      <c r="G237" s="62">
        <v>57014</v>
      </c>
      <c r="W237" s="62">
        <v>57014</v>
      </c>
      <c r="X237" s="62">
        <f>G237-W237</f>
        <v>0</v>
      </c>
    </row>
    <row r="238" spans="1:24" ht="15.75">
      <c r="A238" s="234" t="s">
        <v>155</v>
      </c>
      <c r="B238" s="66"/>
      <c r="C238" s="45" t="s">
        <v>127</v>
      </c>
      <c r="D238" s="45"/>
      <c r="E238" s="49"/>
      <c r="F238" s="56"/>
      <c r="G238" s="58">
        <f>G239</f>
        <v>1467.6000000000001</v>
      </c>
      <c r="W238" s="58">
        <f aca="true" t="shared" si="20" ref="W238:X240">W239</f>
        <v>964</v>
      </c>
      <c r="X238" s="58">
        <f t="shared" si="20"/>
        <v>503.6</v>
      </c>
    </row>
    <row r="239" spans="1:24" ht="15.75">
      <c r="A239" s="234" t="s">
        <v>165</v>
      </c>
      <c r="B239" s="66"/>
      <c r="C239" s="45" t="s">
        <v>127</v>
      </c>
      <c r="D239" s="45" t="s">
        <v>157</v>
      </c>
      <c r="E239" s="52"/>
      <c r="F239" s="57"/>
      <c r="G239" s="58">
        <f>G240</f>
        <v>1467.6000000000001</v>
      </c>
      <c r="W239" s="58">
        <f t="shared" si="20"/>
        <v>964</v>
      </c>
      <c r="X239" s="58">
        <f t="shared" si="20"/>
        <v>503.6</v>
      </c>
    </row>
    <row r="240" spans="1:24" s="16" customFormat="1" ht="15.75">
      <c r="A240" s="256" t="s">
        <v>23</v>
      </c>
      <c r="B240" s="66"/>
      <c r="C240" s="45" t="s">
        <v>180</v>
      </c>
      <c r="D240" s="45" t="s">
        <v>157</v>
      </c>
      <c r="E240" s="52" t="s">
        <v>24</v>
      </c>
      <c r="F240" s="56"/>
      <c r="G240" s="58">
        <f>G241</f>
        <v>1467.6000000000001</v>
      </c>
      <c r="H240" s="293"/>
      <c r="I240" s="293"/>
      <c r="J240" s="293"/>
      <c r="K240" s="293"/>
      <c r="L240" s="293"/>
      <c r="M240" s="293"/>
      <c r="N240" s="293"/>
      <c r="O240" s="293"/>
      <c r="P240" s="293"/>
      <c r="Q240" s="222"/>
      <c r="R240" s="293"/>
      <c r="S240" s="293"/>
      <c r="T240" s="293"/>
      <c r="U240" s="293"/>
      <c r="V240" s="293"/>
      <c r="W240" s="58">
        <f t="shared" si="20"/>
        <v>964</v>
      </c>
      <c r="X240" s="58">
        <f t="shared" si="20"/>
        <v>503.6</v>
      </c>
    </row>
    <row r="241" spans="1:24" ht="15.75">
      <c r="A241" s="235" t="s">
        <v>215</v>
      </c>
      <c r="B241" s="66"/>
      <c r="C241" s="48" t="s">
        <v>127</v>
      </c>
      <c r="D241" s="48" t="s">
        <v>157</v>
      </c>
      <c r="E241" s="49" t="s">
        <v>214</v>
      </c>
      <c r="F241" s="56"/>
      <c r="G241" s="62">
        <f>G242+G244</f>
        <v>1467.6000000000001</v>
      </c>
      <c r="W241" s="62">
        <f>W242+W244</f>
        <v>964</v>
      </c>
      <c r="X241" s="62">
        <f>X242+X244</f>
        <v>503.6</v>
      </c>
    </row>
    <row r="242" spans="1:24" ht="15.75">
      <c r="A242" s="237" t="s">
        <v>226</v>
      </c>
      <c r="B242" s="66"/>
      <c r="C242" s="48" t="s">
        <v>127</v>
      </c>
      <c r="D242" s="48" t="s">
        <v>157</v>
      </c>
      <c r="E242" s="49" t="s">
        <v>214</v>
      </c>
      <c r="F242" s="56" t="s">
        <v>188</v>
      </c>
      <c r="G242" s="62">
        <f>SUM(G243)</f>
        <v>21.700000000000003</v>
      </c>
      <c r="W242" s="62">
        <f>SUM(W243)</f>
        <v>14.3</v>
      </c>
      <c r="X242" s="62">
        <f>SUM(X243)</f>
        <v>7.400000000000002</v>
      </c>
    </row>
    <row r="243" spans="1:24" ht="15.75">
      <c r="A243" s="257" t="s">
        <v>189</v>
      </c>
      <c r="B243" s="66"/>
      <c r="C243" s="48" t="s">
        <v>127</v>
      </c>
      <c r="D243" s="48" t="s">
        <v>157</v>
      </c>
      <c r="E243" s="49" t="s">
        <v>214</v>
      </c>
      <c r="F243" s="56" t="s">
        <v>187</v>
      </c>
      <c r="G243" s="62">
        <f>14.3+7.4</f>
        <v>21.700000000000003</v>
      </c>
      <c r="W243" s="62">
        <v>14.3</v>
      </c>
      <c r="X243" s="62">
        <f>G243-W243</f>
        <v>7.400000000000002</v>
      </c>
    </row>
    <row r="244" spans="1:24" ht="15.75">
      <c r="A244" s="238" t="s">
        <v>89</v>
      </c>
      <c r="B244" s="66"/>
      <c r="C244" s="48" t="s">
        <v>127</v>
      </c>
      <c r="D244" s="48" t="s">
        <v>157</v>
      </c>
      <c r="E244" s="49" t="s">
        <v>214</v>
      </c>
      <c r="F244" s="56" t="s">
        <v>85</v>
      </c>
      <c r="G244" s="62">
        <f>SUM(G245)</f>
        <v>1445.9</v>
      </c>
      <c r="W244" s="62">
        <f>SUM(W245)</f>
        <v>949.7</v>
      </c>
      <c r="X244" s="62">
        <f>SUM(X245)</f>
        <v>496.20000000000005</v>
      </c>
    </row>
    <row r="245" spans="1:24" ht="15" customHeight="1">
      <c r="A245" s="238" t="s">
        <v>424</v>
      </c>
      <c r="B245" s="66"/>
      <c r="C245" s="48" t="s">
        <v>127</v>
      </c>
      <c r="D245" s="48" t="s">
        <v>157</v>
      </c>
      <c r="E245" s="49" t="s">
        <v>214</v>
      </c>
      <c r="F245" s="56" t="s">
        <v>423</v>
      </c>
      <c r="G245" s="62">
        <f>949.7+496.2</f>
        <v>1445.9</v>
      </c>
      <c r="W245" s="62">
        <v>949.7</v>
      </c>
      <c r="X245" s="62">
        <f>G245-W245</f>
        <v>496.20000000000005</v>
      </c>
    </row>
    <row r="246" spans="1:24" ht="15" customHeight="1">
      <c r="A246" s="293" t="s">
        <v>111</v>
      </c>
      <c r="B246" s="66"/>
      <c r="C246" s="45" t="s">
        <v>123</v>
      </c>
      <c r="D246" s="45"/>
      <c r="E246" s="52"/>
      <c r="F246" s="57"/>
      <c r="G246" s="58">
        <f aca="true" t="shared" si="21" ref="G246:G251">G247</f>
        <v>7009.700000000001</v>
      </c>
      <c r="W246" s="58">
        <f aca="true" t="shared" si="22" ref="W246:W251">W247</f>
        <v>9309.7</v>
      </c>
      <c r="X246" s="58">
        <f aca="true" t="shared" si="23" ref="X246:X251">X247</f>
        <v>-2300</v>
      </c>
    </row>
    <row r="247" spans="1:24" ht="15.75">
      <c r="A247" s="256" t="s">
        <v>385</v>
      </c>
      <c r="B247" s="66"/>
      <c r="C247" s="45" t="s">
        <v>123</v>
      </c>
      <c r="D247" s="45" t="s">
        <v>157</v>
      </c>
      <c r="E247" s="52"/>
      <c r="F247" s="57"/>
      <c r="G247" s="58">
        <f t="shared" si="21"/>
        <v>7009.700000000001</v>
      </c>
      <c r="W247" s="58">
        <f t="shared" si="22"/>
        <v>9309.7</v>
      </c>
      <c r="X247" s="58">
        <f t="shared" si="23"/>
        <v>-2300</v>
      </c>
    </row>
    <row r="248" spans="1:24" ht="31.5">
      <c r="A248" s="234" t="s">
        <v>489</v>
      </c>
      <c r="B248" s="95"/>
      <c r="C248" s="45" t="s">
        <v>123</v>
      </c>
      <c r="D248" s="45" t="s">
        <v>157</v>
      </c>
      <c r="E248" s="96" t="s">
        <v>10</v>
      </c>
      <c r="F248" s="56"/>
      <c r="G248" s="58">
        <f t="shared" si="21"/>
        <v>7009.700000000001</v>
      </c>
      <c r="W248" s="58">
        <f t="shared" si="22"/>
        <v>9309.7</v>
      </c>
      <c r="X248" s="58">
        <f t="shared" si="23"/>
        <v>-2300</v>
      </c>
    </row>
    <row r="249" spans="1:24" ht="18.75" customHeight="1">
      <c r="A249" s="234" t="s">
        <v>516</v>
      </c>
      <c r="B249" s="66"/>
      <c r="C249" s="45" t="s">
        <v>123</v>
      </c>
      <c r="D249" s="45" t="s">
        <v>157</v>
      </c>
      <c r="E249" s="52" t="s">
        <v>60</v>
      </c>
      <c r="F249" s="57"/>
      <c r="G249" s="58">
        <f t="shared" si="21"/>
        <v>7009.700000000001</v>
      </c>
      <c r="W249" s="58">
        <f t="shared" si="22"/>
        <v>9309.7</v>
      </c>
      <c r="X249" s="58">
        <f t="shared" si="23"/>
        <v>-2300</v>
      </c>
    </row>
    <row r="250" spans="1:24" ht="15.75">
      <c r="A250" s="238" t="s">
        <v>102</v>
      </c>
      <c r="B250" s="66"/>
      <c r="C250" s="48" t="s">
        <v>123</v>
      </c>
      <c r="D250" s="48" t="s">
        <v>157</v>
      </c>
      <c r="E250" s="49" t="s">
        <v>59</v>
      </c>
      <c r="F250" s="56"/>
      <c r="G250" s="62">
        <f t="shared" si="21"/>
        <v>7009.700000000001</v>
      </c>
      <c r="W250" s="62">
        <f t="shared" si="22"/>
        <v>9309.7</v>
      </c>
      <c r="X250" s="62">
        <f t="shared" si="23"/>
        <v>-2300</v>
      </c>
    </row>
    <row r="251" spans="1:24" ht="15.75">
      <c r="A251" s="238" t="s">
        <v>111</v>
      </c>
      <c r="B251" s="66"/>
      <c r="C251" s="48" t="s">
        <v>123</v>
      </c>
      <c r="D251" s="48" t="s">
        <v>157</v>
      </c>
      <c r="E251" s="49" t="s">
        <v>59</v>
      </c>
      <c r="F251" s="56" t="s">
        <v>113</v>
      </c>
      <c r="G251" s="62">
        <f t="shared" si="21"/>
        <v>7009.700000000001</v>
      </c>
      <c r="W251" s="62">
        <f t="shared" si="22"/>
        <v>9309.7</v>
      </c>
      <c r="X251" s="62">
        <f t="shared" si="23"/>
        <v>-2300</v>
      </c>
    </row>
    <row r="252" spans="1:24" ht="18" customHeight="1">
      <c r="A252" s="238" t="s">
        <v>112</v>
      </c>
      <c r="B252" s="66"/>
      <c r="C252" s="48" t="s">
        <v>123</v>
      </c>
      <c r="D252" s="48" t="s">
        <v>157</v>
      </c>
      <c r="E252" s="49" t="s">
        <v>59</v>
      </c>
      <c r="F252" s="56" t="s">
        <v>114</v>
      </c>
      <c r="G252" s="62">
        <f>12155.2-2845.5-2300</f>
        <v>7009.700000000001</v>
      </c>
      <c r="W252" s="62">
        <f>12155.2-2845.5</f>
        <v>9309.7</v>
      </c>
      <c r="X252" s="62">
        <f>G252-W252</f>
        <v>-2300</v>
      </c>
    </row>
    <row r="253" spans="1:24" ht="15.75">
      <c r="A253" s="254" t="s">
        <v>520</v>
      </c>
      <c r="B253" s="111" t="s">
        <v>183</v>
      </c>
      <c r="C253" s="169"/>
      <c r="D253" s="169"/>
      <c r="E253" s="170"/>
      <c r="F253" s="169"/>
      <c r="G253" s="314">
        <f>G254</f>
        <v>7195.7</v>
      </c>
      <c r="R253" s="333">
        <f>G258+G262</f>
        <v>6475.7</v>
      </c>
      <c r="W253" s="314">
        <f>W254</f>
        <v>7195.7</v>
      </c>
      <c r="X253" s="314">
        <f>X254</f>
        <v>0</v>
      </c>
    </row>
    <row r="254" spans="1:24" ht="15.75">
      <c r="A254" s="234" t="s">
        <v>131</v>
      </c>
      <c r="B254" s="51"/>
      <c r="C254" s="45" t="s">
        <v>157</v>
      </c>
      <c r="D254" s="48"/>
      <c r="E254" s="49" t="s">
        <v>175</v>
      </c>
      <c r="F254" s="48"/>
      <c r="G254" s="58">
        <f>G255+G267</f>
        <v>7195.7</v>
      </c>
      <c r="W254" s="58">
        <f>W255+W267</f>
        <v>7195.7</v>
      </c>
      <c r="X254" s="58">
        <f>X255+X267</f>
        <v>0</v>
      </c>
    </row>
    <row r="255" spans="1:24" ht="31.5">
      <c r="A255" s="234" t="s">
        <v>152</v>
      </c>
      <c r="B255" s="66"/>
      <c r="C255" s="45" t="s">
        <v>157</v>
      </c>
      <c r="D255" s="45" t="s">
        <v>158</v>
      </c>
      <c r="E255" s="52" t="s">
        <v>175</v>
      </c>
      <c r="F255" s="67"/>
      <c r="G255" s="68">
        <f>G256</f>
        <v>6475.7</v>
      </c>
      <c r="R255" s="333">
        <f>G255+G261</f>
        <v>10225.099999999999</v>
      </c>
      <c r="W255" s="68">
        <f>W256</f>
        <v>6475.7</v>
      </c>
      <c r="X255" s="68">
        <f>X256</f>
        <v>0</v>
      </c>
    </row>
    <row r="256" spans="1:24" ht="31.5">
      <c r="A256" s="234" t="s">
        <v>521</v>
      </c>
      <c r="B256" s="66"/>
      <c r="C256" s="45" t="s">
        <v>157</v>
      </c>
      <c r="D256" s="45" t="s">
        <v>158</v>
      </c>
      <c r="E256" s="52" t="s">
        <v>67</v>
      </c>
      <c r="F256" s="67"/>
      <c r="G256" s="68">
        <f>G257+G261</f>
        <v>6475.7</v>
      </c>
      <c r="W256" s="68">
        <f>W257+W261</f>
        <v>6475.7</v>
      </c>
      <c r="X256" s="68">
        <f>X257+X261</f>
        <v>0</v>
      </c>
    </row>
    <row r="257" spans="1:24" ht="21" customHeight="1">
      <c r="A257" s="234" t="s">
        <v>635</v>
      </c>
      <c r="B257" s="77"/>
      <c r="C257" s="45" t="s">
        <v>157</v>
      </c>
      <c r="D257" s="45" t="s">
        <v>158</v>
      </c>
      <c r="E257" s="52" t="s">
        <v>68</v>
      </c>
      <c r="F257" s="67"/>
      <c r="G257" s="68">
        <f>G258</f>
        <v>2726.3</v>
      </c>
      <c r="W257" s="68">
        <f aca="true" t="shared" si="24" ref="W257:X259">W258</f>
        <v>2726.3</v>
      </c>
      <c r="X257" s="68">
        <f t="shared" si="24"/>
        <v>0</v>
      </c>
    </row>
    <row r="258" spans="1:24" s="16" customFormat="1" ht="15.75">
      <c r="A258" s="238" t="s">
        <v>103</v>
      </c>
      <c r="B258" s="66"/>
      <c r="C258" s="48" t="s">
        <v>157</v>
      </c>
      <c r="D258" s="48" t="s">
        <v>158</v>
      </c>
      <c r="E258" s="49" t="s">
        <v>69</v>
      </c>
      <c r="F258" s="69"/>
      <c r="G258" s="70">
        <f>G259</f>
        <v>2726.3</v>
      </c>
      <c r="H258" s="293"/>
      <c r="I258" s="293"/>
      <c r="J258" s="293"/>
      <c r="K258" s="293"/>
      <c r="L258" s="293"/>
      <c r="M258" s="293"/>
      <c r="N258" s="293"/>
      <c r="O258" s="293"/>
      <c r="P258" s="293"/>
      <c r="Q258" s="222"/>
      <c r="R258" s="293"/>
      <c r="S258" s="293"/>
      <c r="T258" s="293"/>
      <c r="U258" s="293"/>
      <c r="V258" s="293"/>
      <c r="W258" s="70">
        <f t="shared" si="24"/>
        <v>2726.3</v>
      </c>
      <c r="X258" s="70">
        <f t="shared" si="24"/>
        <v>0</v>
      </c>
    </row>
    <row r="259" spans="1:24" ht="47.25">
      <c r="A259" s="237" t="s">
        <v>116</v>
      </c>
      <c r="B259" s="66"/>
      <c r="C259" s="48" t="s">
        <v>157</v>
      </c>
      <c r="D259" s="48" t="s">
        <v>158</v>
      </c>
      <c r="E259" s="49" t="s">
        <v>69</v>
      </c>
      <c r="F259" s="56" t="s">
        <v>198</v>
      </c>
      <c r="G259" s="70">
        <f>G260</f>
        <v>2726.3</v>
      </c>
      <c r="W259" s="70">
        <f t="shared" si="24"/>
        <v>2726.3</v>
      </c>
      <c r="X259" s="70">
        <f t="shared" si="24"/>
        <v>0</v>
      </c>
    </row>
    <row r="260" spans="1:24" ht="15.75">
      <c r="A260" s="237" t="s">
        <v>193</v>
      </c>
      <c r="B260" s="66"/>
      <c r="C260" s="48" t="s">
        <v>157</v>
      </c>
      <c r="D260" s="48" t="s">
        <v>158</v>
      </c>
      <c r="E260" s="49" t="s">
        <v>69</v>
      </c>
      <c r="F260" s="56" t="s">
        <v>194</v>
      </c>
      <c r="G260" s="62">
        <f>1660+1066.3</f>
        <v>2726.3</v>
      </c>
      <c r="W260" s="62">
        <f>1660+1066.3</f>
        <v>2726.3</v>
      </c>
      <c r="X260" s="62">
        <f>G260-W260</f>
        <v>0</v>
      </c>
    </row>
    <row r="261" spans="1:24" ht="27" customHeight="1">
      <c r="A261" s="239" t="s">
        <v>520</v>
      </c>
      <c r="B261" s="77"/>
      <c r="C261" s="45" t="s">
        <v>157</v>
      </c>
      <c r="D261" s="45" t="s">
        <v>158</v>
      </c>
      <c r="E261" s="52" t="s">
        <v>636</v>
      </c>
      <c r="F261" s="57"/>
      <c r="G261" s="58">
        <f>G262</f>
        <v>3749.3999999999996</v>
      </c>
      <c r="W261" s="58">
        <f>W262</f>
        <v>3749.3999999999996</v>
      </c>
      <c r="X261" s="58">
        <f>X262</f>
        <v>0</v>
      </c>
    </row>
    <row r="262" spans="1:24" ht="15.75">
      <c r="A262" s="238" t="s">
        <v>103</v>
      </c>
      <c r="B262" s="66"/>
      <c r="C262" s="48" t="s">
        <v>157</v>
      </c>
      <c r="D262" s="48" t="s">
        <v>158</v>
      </c>
      <c r="E262" s="49" t="s">
        <v>637</v>
      </c>
      <c r="F262" s="69"/>
      <c r="G262" s="70">
        <f>G263+G265</f>
        <v>3749.3999999999996</v>
      </c>
      <c r="H262" s="31"/>
      <c r="I262" s="31"/>
      <c r="W262" s="70">
        <f>W263+W265</f>
        <v>3749.3999999999996</v>
      </c>
      <c r="X262" s="70">
        <f>X263+X265</f>
        <v>0</v>
      </c>
    </row>
    <row r="263" spans="1:24" ht="47.25">
      <c r="A263" s="237" t="s">
        <v>116</v>
      </c>
      <c r="B263" s="66"/>
      <c r="C263" s="48" t="s">
        <v>157</v>
      </c>
      <c r="D263" s="48" t="s">
        <v>158</v>
      </c>
      <c r="E263" s="49" t="s">
        <v>637</v>
      </c>
      <c r="F263" s="56" t="s">
        <v>198</v>
      </c>
      <c r="G263" s="70">
        <f>G264</f>
        <v>3566.7</v>
      </c>
      <c r="H263" s="31"/>
      <c r="I263" s="31"/>
      <c r="W263" s="70">
        <f>W264</f>
        <v>3566.7</v>
      </c>
      <c r="X263" s="70">
        <f>X264</f>
        <v>0</v>
      </c>
    </row>
    <row r="264" spans="1:24" ht="15.75">
      <c r="A264" s="237" t="s">
        <v>193</v>
      </c>
      <c r="B264" s="66"/>
      <c r="C264" s="48" t="s">
        <v>157</v>
      </c>
      <c r="D264" s="48" t="s">
        <v>158</v>
      </c>
      <c r="E264" s="49" t="s">
        <v>637</v>
      </c>
      <c r="F264" s="56" t="s">
        <v>194</v>
      </c>
      <c r="G264" s="62">
        <f>1546+2020.7</f>
        <v>3566.7</v>
      </c>
      <c r="W264" s="62">
        <f>1546+2020.7</f>
        <v>3566.7</v>
      </c>
      <c r="X264" s="62">
        <f>G264-W264</f>
        <v>0</v>
      </c>
    </row>
    <row r="265" spans="1:24" ht="21.75" customHeight="1">
      <c r="A265" s="237" t="s">
        <v>226</v>
      </c>
      <c r="B265" s="55"/>
      <c r="C265" s="48" t="s">
        <v>157</v>
      </c>
      <c r="D265" s="48" t="s">
        <v>158</v>
      </c>
      <c r="E265" s="49" t="s">
        <v>637</v>
      </c>
      <c r="F265" s="56" t="s">
        <v>188</v>
      </c>
      <c r="G265" s="62">
        <f>G266</f>
        <v>182.7</v>
      </c>
      <c r="W265" s="62">
        <f>W266</f>
        <v>182.7</v>
      </c>
      <c r="X265" s="62">
        <f>X266</f>
        <v>0</v>
      </c>
    </row>
    <row r="266" spans="1:24" ht="27" customHeight="1">
      <c r="A266" s="257" t="s">
        <v>189</v>
      </c>
      <c r="B266" s="55"/>
      <c r="C266" s="48" t="s">
        <v>157</v>
      </c>
      <c r="D266" s="48" t="s">
        <v>158</v>
      </c>
      <c r="E266" s="49" t="s">
        <v>637</v>
      </c>
      <c r="F266" s="56" t="s">
        <v>187</v>
      </c>
      <c r="G266" s="62">
        <v>182.7</v>
      </c>
      <c r="W266" s="62">
        <v>182.7</v>
      </c>
      <c r="X266" s="62">
        <f>G266-W266</f>
        <v>0</v>
      </c>
    </row>
    <row r="267" spans="1:24" ht="15.75">
      <c r="A267" s="234" t="s">
        <v>142</v>
      </c>
      <c r="B267" s="54"/>
      <c r="C267" s="45" t="s">
        <v>157</v>
      </c>
      <c r="D267" s="45" t="s">
        <v>123</v>
      </c>
      <c r="E267" s="52"/>
      <c r="F267" s="57"/>
      <c r="G267" s="58">
        <f>G268</f>
        <v>720</v>
      </c>
      <c r="W267" s="58">
        <f aca="true" t="shared" si="25" ref="W267:X270">W268</f>
        <v>720</v>
      </c>
      <c r="X267" s="58">
        <f t="shared" si="25"/>
        <v>0</v>
      </c>
    </row>
    <row r="268" spans="1:24" ht="31.5">
      <c r="A268" s="234" t="s">
        <v>521</v>
      </c>
      <c r="B268" s="66"/>
      <c r="C268" s="45" t="s">
        <v>157</v>
      </c>
      <c r="D268" s="45" t="s">
        <v>158</v>
      </c>
      <c r="E268" s="52" t="s">
        <v>67</v>
      </c>
      <c r="F268" s="67"/>
      <c r="G268" s="68">
        <f>G269</f>
        <v>720</v>
      </c>
      <c r="W268" s="68">
        <f t="shared" si="25"/>
        <v>720</v>
      </c>
      <c r="X268" s="68">
        <f t="shared" si="25"/>
        <v>0</v>
      </c>
    </row>
    <row r="269" spans="1:24" ht="31.5">
      <c r="A269" s="238" t="s">
        <v>92</v>
      </c>
      <c r="B269" s="55"/>
      <c r="C269" s="48" t="s">
        <v>157</v>
      </c>
      <c r="D269" s="48" t="s">
        <v>123</v>
      </c>
      <c r="E269" s="49" t="s">
        <v>638</v>
      </c>
      <c r="F269" s="56"/>
      <c r="G269" s="62">
        <f>G270</f>
        <v>720</v>
      </c>
      <c r="W269" s="62">
        <f t="shared" si="25"/>
        <v>720</v>
      </c>
      <c r="X269" s="62">
        <f t="shared" si="25"/>
        <v>0</v>
      </c>
    </row>
    <row r="270" spans="1:24" ht="47.25">
      <c r="A270" s="237" t="s">
        <v>116</v>
      </c>
      <c r="B270" s="55"/>
      <c r="C270" s="48" t="s">
        <v>157</v>
      </c>
      <c r="D270" s="48" t="s">
        <v>123</v>
      </c>
      <c r="E270" s="49" t="s">
        <v>638</v>
      </c>
      <c r="F270" s="56" t="s">
        <v>198</v>
      </c>
      <c r="G270" s="62">
        <f>G271</f>
        <v>720</v>
      </c>
      <c r="W270" s="62">
        <f t="shared" si="25"/>
        <v>720</v>
      </c>
      <c r="X270" s="62">
        <f t="shared" si="25"/>
        <v>0</v>
      </c>
    </row>
    <row r="271" spans="1:24" ht="25.5" customHeight="1">
      <c r="A271" s="237" t="s">
        <v>193</v>
      </c>
      <c r="B271" s="55"/>
      <c r="C271" s="48" t="s">
        <v>157</v>
      </c>
      <c r="D271" s="48" t="s">
        <v>123</v>
      </c>
      <c r="E271" s="49" t="s">
        <v>638</v>
      </c>
      <c r="F271" s="56" t="s">
        <v>194</v>
      </c>
      <c r="G271" s="62">
        <v>720</v>
      </c>
      <c r="W271" s="62">
        <v>720</v>
      </c>
      <c r="X271" s="62">
        <f>G271-W271</f>
        <v>0</v>
      </c>
    </row>
    <row r="272" spans="1:24" ht="31.5" customHeight="1">
      <c r="A272" s="254" t="s">
        <v>522</v>
      </c>
      <c r="B272" s="111" t="s">
        <v>174</v>
      </c>
      <c r="C272" s="169"/>
      <c r="D272" s="169"/>
      <c r="E272" s="170"/>
      <c r="F272" s="169"/>
      <c r="G272" s="314">
        <f>G273+G476</f>
        <v>811573.7150000001</v>
      </c>
      <c r="R272" s="333" t="e">
        <f>G277+G280+G283+#REF!+G286+G292+G295+G301+G304+G307+G310+G313+G317+G323+G326+G329+#REF!+G332+G335+G341+G344+G347+G350+G353+G356+G359+G362+G365+G368+G371+G374+#REF!+G379+G383+G389+G392+G402+G405+#REF!+G414+G417+G420+G423+G426+G429+#REF!+G433+G438+G442+G448+G453+G460+G463+G467+G470+G473+G483+G487+G493+G496+G499+G399</f>
        <v>#REF!</v>
      </c>
      <c r="S272" s="333" t="e">
        <f>R272-G272</f>
        <v>#REF!</v>
      </c>
      <c r="W272" s="314">
        <f>W273+W476</f>
        <v>810072.4367</v>
      </c>
      <c r="X272" s="314">
        <f>X273+X476</f>
        <v>1501.278300000008</v>
      </c>
    </row>
    <row r="273" spans="1:24" ht="18.75" customHeight="1">
      <c r="A273" s="234" t="s">
        <v>166</v>
      </c>
      <c r="B273" s="47"/>
      <c r="C273" s="45" t="s">
        <v>129</v>
      </c>
      <c r="D273" s="48"/>
      <c r="E273" s="49"/>
      <c r="F273" s="56"/>
      <c r="G273" s="68">
        <f>G274+G320+G386+G441+G445</f>
        <v>781867.827</v>
      </c>
      <c r="W273" s="68">
        <f>W274+W320+W386+W441+W445</f>
        <v>780366.8467</v>
      </c>
      <c r="X273" s="68">
        <f>X274+X320+X386+X441+X445</f>
        <v>1500.980300000006</v>
      </c>
    </row>
    <row r="274" spans="1:24" ht="18.75" customHeight="1">
      <c r="A274" s="234" t="s">
        <v>151</v>
      </c>
      <c r="B274" s="47"/>
      <c r="C274" s="45" t="s">
        <v>129</v>
      </c>
      <c r="D274" s="45" t="s">
        <v>157</v>
      </c>
      <c r="E274" s="49"/>
      <c r="F274" s="56"/>
      <c r="G274" s="68">
        <f>G275+G316</f>
        <v>257356.811</v>
      </c>
      <c r="R274" s="333">
        <f>G274+G316</f>
        <v>257556.811</v>
      </c>
      <c r="W274" s="68">
        <f>W275+W316</f>
        <v>256345.60000000003</v>
      </c>
      <c r="X274" s="68">
        <f>X275+X316</f>
        <v>1011.210999999987</v>
      </c>
    </row>
    <row r="275" spans="1:24" ht="15.75">
      <c r="A275" s="234" t="s">
        <v>546</v>
      </c>
      <c r="B275" s="51"/>
      <c r="C275" s="45" t="s">
        <v>129</v>
      </c>
      <c r="D275" s="45" t="s">
        <v>157</v>
      </c>
      <c r="E275" s="52" t="s">
        <v>11</v>
      </c>
      <c r="F275" s="57"/>
      <c r="G275" s="68">
        <f>G276</f>
        <v>257156.811</v>
      </c>
      <c r="Q275" s="334">
        <f>G275+G321+G387+G453+G448+G478</f>
        <v>777261.8250000001</v>
      </c>
      <c r="W275" s="68">
        <f>W276</f>
        <v>256145.60000000003</v>
      </c>
      <c r="X275" s="68">
        <f>X276</f>
        <v>1011.210999999987</v>
      </c>
    </row>
    <row r="276" spans="1:24" s="307" customFormat="1" ht="31.5">
      <c r="A276" s="258" t="s">
        <v>542</v>
      </c>
      <c r="B276" s="204"/>
      <c r="C276" s="93" t="s">
        <v>129</v>
      </c>
      <c r="D276" s="93" t="s">
        <v>157</v>
      </c>
      <c r="E276" s="98" t="s">
        <v>12</v>
      </c>
      <c r="F276" s="175"/>
      <c r="G276" s="68">
        <f>G277+G280+G283+G286+G289+G292+G295+G301+G304+G307+G310+G313+G298</f>
        <v>257156.811</v>
      </c>
      <c r="H276" s="336"/>
      <c r="I276" s="336"/>
      <c r="J276" s="336"/>
      <c r="K276" s="336"/>
      <c r="L276" s="336"/>
      <c r="M276" s="336"/>
      <c r="N276" s="336"/>
      <c r="O276" s="336"/>
      <c r="P276" s="336"/>
      <c r="Q276" s="337"/>
      <c r="R276" s="336"/>
      <c r="S276" s="336"/>
      <c r="T276" s="336"/>
      <c r="U276" s="336"/>
      <c r="V276" s="336"/>
      <c r="W276" s="370">
        <f>W277+W280+W283+W286+W289+W292+W295+W301+W304+W307+W310+W313+W298</f>
        <v>256145.60000000003</v>
      </c>
      <c r="X276" s="370">
        <f>X277+X280+X283+X286+X289+X292+X295+X301+X304+X307+X310+X313+X298</f>
        <v>1011.210999999987</v>
      </c>
    </row>
    <row r="277" spans="1:24" s="307" customFormat="1" ht="15.75">
      <c r="A277" s="259" t="s">
        <v>104</v>
      </c>
      <c r="B277" s="82"/>
      <c r="C277" s="80" t="s">
        <v>129</v>
      </c>
      <c r="D277" s="80" t="s">
        <v>157</v>
      </c>
      <c r="E277" s="81" t="s">
        <v>27</v>
      </c>
      <c r="F277" s="76"/>
      <c r="G277" s="70">
        <f>G278</f>
        <v>105779.055</v>
      </c>
      <c r="H277" s="336"/>
      <c r="I277" s="336"/>
      <c r="J277" s="336"/>
      <c r="K277" s="336"/>
      <c r="L277" s="336"/>
      <c r="M277" s="336"/>
      <c r="N277" s="336"/>
      <c r="O277" s="336"/>
      <c r="P277" s="336"/>
      <c r="Q277" s="337"/>
      <c r="R277" s="336"/>
      <c r="S277" s="336"/>
      <c r="T277" s="336"/>
      <c r="U277" s="336"/>
      <c r="V277" s="336"/>
      <c r="W277" s="70">
        <f>W278</f>
        <v>105779.1</v>
      </c>
      <c r="X277" s="70">
        <f>X278</f>
        <v>-0.045000000012805685</v>
      </c>
    </row>
    <row r="278" spans="1:24" s="307" customFormat="1" ht="21.75" customHeight="1">
      <c r="A278" s="260" t="s">
        <v>190</v>
      </c>
      <c r="B278" s="82"/>
      <c r="C278" s="80" t="s">
        <v>129</v>
      </c>
      <c r="D278" s="80" t="s">
        <v>157</v>
      </c>
      <c r="E278" s="81" t="s">
        <v>27</v>
      </c>
      <c r="F278" s="76" t="s">
        <v>178</v>
      </c>
      <c r="G278" s="70">
        <f>G279</f>
        <v>105779.055</v>
      </c>
      <c r="H278" s="336"/>
      <c r="I278" s="336"/>
      <c r="J278" s="336"/>
      <c r="K278" s="336"/>
      <c r="L278" s="336"/>
      <c r="M278" s="336"/>
      <c r="N278" s="336"/>
      <c r="O278" s="336"/>
      <c r="P278" s="336"/>
      <c r="Q278" s="337"/>
      <c r="R278" s="336"/>
      <c r="S278" s="336"/>
      <c r="T278" s="336"/>
      <c r="U278" s="336"/>
      <c r="V278" s="336"/>
      <c r="W278" s="70">
        <f>W279</f>
        <v>105779.1</v>
      </c>
      <c r="X278" s="70">
        <f>X279</f>
        <v>-0.045000000012805685</v>
      </c>
    </row>
    <row r="279" spans="1:24" s="307" customFormat="1" ht="15.75">
      <c r="A279" s="261" t="s">
        <v>191</v>
      </c>
      <c r="B279" s="82"/>
      <c r="C279" s="80" t="s">
        <v>129</v>
      </c>
      <c r="D279" s="80" t="s">
        <v>157</v>
      </c>
      <c r="E279" s="81" t="s">
        <v>27</v>
      </c>
      <c r="F279" s="76" t="s">
        <v>192</v>
      </c>
      <c r="G279" s="70">
        <v>105779.055</v>
      </c>
      <c r="H279" s="336"/>
      <c r="I279" s="336"/>
      <c r="J279" s="336"/>
      <c r="K279" s="336"/>
      <c r="L279" s="336"/>
      <c r="M279" s="336"/>
      <c r="N279" s="336"/>
      <c r="O279" s="336"/>
      <c r="P279" s="336"/>
      <c r="Q279" s="337"/>
      <c r="R279" s="336"/>
      <c r="S279" s="336"/>
      <c r="T279" s="336"/>
      <c r="U279" s="336"/>
      <c r="V279" s="336"/>
      <c r="W279" s="70">
        <v>105779.1</v>
      </c>
      <c r="X279" s="62">
        <f>G279-W279</f>
        <v>-0.045000000012805685</v>
      </c>
    </row>
    <row r="280" spans="1:24" s="307" customFormat="1" ht="15.75">
      <c r="A280" s="244" t="s">
        <v>216</v>
      </c>
      <c r="B280" s="82"/>
      <c r="C280" s="80" t="s">
        <v>129</v>
      </c>
      <c r="D280" s="80" t="s">
        <v>157</v>
      </c>
      <c r="E280" s="81" t="s">
        <v>217</v>
      </c>
      <c r="F280" s="76"/>
      <c r="G280" s="70">
        <f>G281</f>
        <v>620</v>
      </c>
      <c r="H280" s="336"/>
      <c r="I280" s="336"/>
      <c r="J280" s="336"/>
      <c r="K280" s="336"/>
      <c r="L280" s="336"/>
      <c r="M280" s="336"/>
      <c r="N280" s="336"/>
      <c r="O280" s="336"/>
      <c r="P280" s="336"/>
      <c r="Q280" s="337"/>
      <c r="R280" s="336"/>
      <c r="S280" s="336"/>
      <c r="T280" s="336"/>
      <c r="U280" s="336"/>
      <c r="V280" s="336"/>
      <c r="W280" s="70">
        <f>W281</f>
        <v>620</v>
      </c>
      <c r="X280" s="70">
        <f>X281</f>
        <v>0</v>
      </c>
    </row>
    <row r="281" spans="1:24" ht="18" customHeight="1">
      <c r="A281" s="260" t="s">
        <v>190</v>
      </c>
      <c r="B281" s="82"/>
      <c r="C281" s="80" t="s">
        <v>129</v>
      </c>
      <c r="D281" s="80" t="s">
        <v>157</v>
      </c>
      <c r="E281" s="81" t="s">
        <v>217</v>
      </c>
      <c r="F281" s="76" t="s">
        <v>178</v>
      </c>
      <c r="G281" s="70">
        <f>G282</f>
        <v>620</v>
      </c>
      <c r="W281" s="70">
        <f>W282</f>
        <v>620</v>
      </c>
      <c r="X281" s="70">
        <f>X282</f>
        <v>0</v>
      </c>
    </row>
    <row r="282" spans="1:24" ht="13.5" customHeight="1">
      <c r="A282" s="261" t="s">
        <v>191</v>
      </c>
      <c r="B282" s="82"/>
      <c r="C282" s="80" t="s">
        <v>129</v>
      </c>
      <c r="D282" s="80" t="s">
        <v>157</v>
      </c>
      <c r="E282" s="81" t="s">
        <v>217</v>
      </c>
      <c r="F282" s="76" t="s">
        <v>192</v>
      </c>
      <c r="G282" s="70">
        <v>620</v>
      </c>
      <c r="W282" s="70">
        <v>620</v>
      </c>
      <c r="X282" s="62">
        <f>G282-W282</f>
        <v>0</v>
      </c>
    </row>
    <row r="283" spans="1:24" ht="18" customHeight="1">
      <c r="A283" s="262" t="s">
        <v>7</v>
      </c>
      <c r="B283" s="82"/>
      <c r="C283" s="80" t="s">
        <v>129</v>
      </c>
      <c r="D283" s="80" t="s">
        <v>157</v>
      </c>
      <c r="E283" s="76" t="s">
        <v>584</v>
      </c>
      <c r="F283" s="76"/>
      <c r="G283" s="70">
        <f>G284</f>
        <v>300</v>
      </c>
      <c r="W283" s="70">
        <f>W284</f>
        <v>300</v>
      </c>
      <c r="X283" s="70">
        <f>X284</f>
        <v>0</v>
      </c>
    </row>
    <row r="284" spans="1:24" ht="18" customHeight="1">
      <c r="A284" s="260" t="s">
        <v>190</v>
      </c>
      <c r="B284" s="82"/>
      <c r="C284" s="80" t="s">
        <v>129</v>
      </c>
      <c r="D284" s="80" t="s">
        <v>157</v>
      </c>
      <c r="E284" s="56" t="s">
        <v>584</v>
      </c>
      <c r="F284" s="76" t="s">
        <v>178</v>
      </c>
      <c r="G284" s="70">
        <f>G285</f>
        <v>300</v>
      </c>
      <c r="W284" s="70">
        <f>W285</f>
        <v>300</v>
      </c>
      <c r="X284" s="70">
        <f>X285</f>
        <v>0</v>
      </c>
    </row>
    <row r="285" spans="1:24" ht="20.25" customHeight="1">
      <c r="A285" s="262" t="s">
        <v>191</v>
      </c>
      <c r="B285" s="82"/>
      <c r="C285" s="80" t="s">
        <v>129</v>
      </c>
      <c r="D285" s="80" t="s">
        <v>157</v>
      </c>
      <c r="E285" s="56" t="s">
        <v>584</v>
      </c>
      <c r="F285" s="76" t="s">
        <v>192</v>
      </c>
      <c r="G285" s="70">
        <v>300</v>
      </c>
      <c r="W285" s="70">
        <v>300</v>
      </c>
      <c r="X285" s="62">
        <f>G285-W285</f>
        <v>0</v>
      </c>
    </row>
    <row r="286" spans="1:24" ht="18.75" customHeight="1">
      <c r="A286" s="244" t="s">
        <v>266</v>
      </c>
      <c r="B286" s="86"/>
      <c r="C286" s="80" t="s">
        <v>129</v>
      </c>
      <c r="D286" s="80" t="s">
        <v>157</v>
      </c>
      <c r="E286" s="81" t="s">
        <v>25</v>
      </c>
      <c r="F286" s="76"/>
      <c r="G286" s="70">
        <f aca="true" t="shared" si="26" ref="G286:I287">G287</f>
        <v>600</v>
      </c>
      <c r="H286" s="340">
        <f t="shared" si="26"/>
        <v>0</v>
      </c>
      <c r="I286" s="340" t="e">
        <f t="shared" si="26"/>
        <v>#REF!</v>
      </c>
      <c r="J286" s="341"/>
      <c r="W286" s="70">
        <f>W287</f>
        <v>600</v>
      </c>
      <c r="X286" s="70">
        <f>X287</f>
        <v>0</v>
      </c>
    </row>
    <row r="287" spans="1:24" ht="15" customHeight="1">
      <c r="A287" s="260" t="s">
        <v>190</v>
      </c>
      <c r="B287" s="86"/>
      <c r="C287" s="80" t="s">
        <v>129</v>
      </c>
      <c r="D287" s="80" t="s">
        <v>157</v>
      </c>
      <c r="E287" s="81" t="s">
        <v>25</v>
      </c>
      <c r="F287" s="76" t="s">
        <v>178</v>
      </c>
      <c r="G287" s="70">
        <f t="shared" si="26"/>
        <v>600</v>
      </c>
      <c r="H287" s="340">
        <f t="shared" si="26"/>
        <v>0</v>
      </c>
      <c r="I287" s="340" t="e">
        <f t="shared" si="26"/>
        <v>#REF!</v>
      </c>
      <c r="J287" s="341"/>
      <c r="W287" s="70">
        <f>W288</f>
        <v>600</v>
      </c>
      <c r="X287" s="70">
        <f>X288</f>
        <v>0</v>
      </c>
    </row>
    <row r="288" spans="1:24" ht="22.5" customHeight="1">
      <c r="A288" s="261" t="s">
        <v>191</v>
      </c>
      <c r="B288" s="86"/>
      <c r="C288" s="80" t="s">
        <v>129</v>
      </c>
      <c r="D288" s="80" t="s">
        <v>157</v>
      </c>
      <c r="E288" s="81" t="s">
        <v>25</v>
      </c>
      <c r="F288" s="76" t="s">
        <v>192</v>
      </c>
      <c r="G288" s="70">
        <v>600</v>
      </c>
      <c r="H288" s="340">
        <v>0</v>
      </c>
      <c r="I288" s="88" t="e">
        <f>#REF!-H288</f>
        <v>#REF!</v>
      </c>
      <c r="J288" s="342"/>
      <c r="W288" s="70">
        <v>600</v>
      </c>
      <c r="X288" s="62">
        <f>G288-W288</f>
        <v>0</v>
      </c>
    </row>
    <row r="289" spans="1:24" ht="31.5">
      <c r="A289" s="244" t="s">
        <v>267</v>
      </c>
      <c r="B289" s="86"/>
      <c r="C289" s="80" t="s">
        <v>129</v>
      </c>
      <c r="D289" s="80" t="s">
        <v>157</v>
      </c>
      <c r="E289" s="81" t="s">
        <v>26</v>
      </c>
      <c r="F289" s="76"/>
      <c r="G289" s="70">
        <f aca="true" t="shared" si="27" ref="G289:I290">G290</f>
        <v>100</v>
      </c>
      <c r="H289" s="88">
        <f t="shared" si="27"/>
        <v>0</v>
      </c>
      <c r="I289" s="88">
        <f t="shared" si="27"/>
        <v>2560.1</v>
      </c>
      <c r="J289" s="341"/>
      <c r="W289" s="70">
        <f>W290</f>
        <v>100</v>
      </c>
      <c r="X289" s="70">
        <f>X290</f>
        <v>0</v>
      </c>
    </row>
    <row r="290" spans="1:24" ht="31.5">
      <c r="A290" s="260" t="s">
        <v>190</v>
      </c>
      <c r="B290" s="86"/>
      <c r="C290" s="80" t="s">
        <v>129</v>
      </c>
      <c r="D290" s="80" t="s">
        <v>157</v>
      </c>
      <c r="E290" s="81" t="s">
        <v>26</v>
      </c>
      <c r="F290" s="76" t="s">
        <v>178</v>
      </c>
      <c r="G290" s="70">
        <f t="shared" si="27"/>
        <v>100</v>
      </c>
      <c r="H290" s="88">
        <f t="shared" si="27"/>
        <v>0</v>
      </c>
      <c r="I290" s="88">
        <f t="shared" si="27"/>
        <v>2560.1</v>
      </c>
      <c r="J290" s="341"/>
      <c r="W290" s="70">
        <f>W291</f>
        <v>100</v>
      </c>
      <c r="X290" s="70">
        <f>X291</f>
        <v>0</v>
      </c>
    </row>
    <row r="291" spans="1:24" ht="15.75">
      <c r="A291" s="261" t="s">
        <v>191</v>
      </c>
      <c r="B291" s="86"/>
      <c r="C291" s="80" t="s">
        <v>129</v>
      </c>
      <c r="D291" s="80" t="s">
        <v>157</v>
      </c>
      <c r="E291" s="81" t="s">
        <v>26</v>
      </c>
      <c r="F291" s="76" t="s">
        <v>192</v>
      </c>
      <c r="G291" s="70">
        <v>100</v>
      </c>
      <c r="H291" s="88">
        <v>0</v>
      </c>
      <c r="I291" s="88">
        <f>G332-H291</f>
        <v>2560.1</v>
      </c>
      <c r="J291" s="341"/>
      <c r="W291" s="70">
        <v>100</v>
      </c>
      <c r="X291" s="62">
        <f>G291-W291</f>
        <v>0</v>
      </c>
    </row>
    <row r="292" spans="1:24" ht="15.75">
      <c r="A292" s="257" t="s">
        <v>268</v>
      </c>
      <c r="B292" s="66"/>
      <c r="C292" s="48" t="s">
        <v>129</v>
      </c>
      <c r="D292" s="48" t="s">
        <v>157</v>
      </c>
      <c r="E292" s="49" t="s">
        <v>425</v>
      </c>
      <c r="F292" s="56"/>
      <c r="G292" s="70">
        <f>G293</f>
        <v>870.57</v>
      </c>
      <c r="W292" s="70">
        <f>W293</f>
        <v>870.6</v>
      </c>
      <c r="X292" s="70">
        <f>X293</f>
        <v>-0.029999999999972715</v>
      </c>
    </row>
    <row r="293" spans="1:24" ht="31.5">
      <c r="A293" s="163" t="s">
        <v>190</v>
      </c>
      <c r="B293" s="66"/>
      <c r="C293" s="48" t="s">
        <v>129</v>
      </c>
      <c r="D293" s="48" t="s">
        <v>157</v>
      </c>
      <c r="E293" s="49" t="s">
        <v>425</v>
      </c>
      <c r="F293" s="56" t="s">
        <v>178</v>
      </c>
      <c r="G293" s="70">
        <f>G294</f>
        <v>870.57</v>
      </c>
      <c r="W293" s="70">
        <f>W294</f>
        <v>870.6</v>
      </c>
      <c r="X293" s="70">
        <f>X294</f>
        <v>-0.029999999999972715</v>
      </c>
    </row>
    <row r="294" spans="1:24" ht="15.75">
      <c r="A294" s="253" t="s">
        <v>191</v>
      </c>
      <c r="B294" s="66"/>
      <c r="C294" s="48" t="s">
        <v>129</v>
      </c>
      <c r="D294" s="48" t="s">
        <v>157</v>
      </c>
      <c r="E294" s="49" t="s">
        <v>425</v>
      </c>
      <c r="F294" s="56" t="s">
        <v>192</v>
      </c>
      <c r="G294" s="70">
        <v>870.57</v>
      </c>
      <c r="W294" s="70">
        <v>870.6</v>
      </c>
      <c r="X294" s="62">
        <f>G294-W294</f>
        <v>-0.029999999999972715</v>
      </c>
    </row>
    <row r="295" spans="1:24" ht="15.75">
      <c r="A295" s="257" t="s">
        <v>335</v>
      </c>
      <c r="B295" s="66"/>
      <c r="C295" s="48" t="s">
        <v>129</v>
      </c>
      <c r="D295" s="48" t="s">
        <v>157</v>
      </c>
      <c r="E295" s="49" t="s">
        <v>426</v>
      </c>
      <c r="F295" s="56"/>
      <c r="G295" s="70">
        <f>G296</f>
        <v>50</v>
      </c>
      <c r="W295" s="70">
        <f>W296</f>
        <v>50</v>
      </c>
      <c r="X295" s="70">
        <f>X296</f>
        <v>0</v>
      </c>
    </row>
    <row r="296" spans="1:24" ht="23.25" customHeight="1">
      <c r="A296" s="163" t="s">
        <v>190</v>
      </c>
      <c r="B296" s="66"/>
      <c r="C296" s="48" t="s">
        <v>129</v>
      </c>
      <c r="D296" s="48" t="s">
        <v>157</v>
      </c>
      <c r="E296" s="49" t="s">
        <v>426</v>
      </c>
      <c r="F296" s="56" t="s">
        <v>178</v>
      </c>
      <c r="G296" s="70">
        <f>G297</f>
        <v>50</v>
      </c>
      <c r="W296" s="70">
        <f>W297</f>
        <v>50</v>
      </c>
      <c r="X296" s="70">
        <f>X297</f>
        <v>0</v>
      </c>
    </row>
    <row r="297" spans="1:24" ht="15.75">
      <c r="A297" s="253" t="s">
        <v>191</v>
      </c>
      <c r="B297" s="66"/>
      <c r="C297" s="48" t="s">
        <v>129</v>
      </c>
      <c r="D297" s="48" t="s">
        <v>157</v>
      </c>
      <c r="E297" s="49" t="s">
        <v>426</v>
      </c>
      <c r="F297" s="56" t="s">
        <v>192</v>
      </c>
      <c r="G297" s="70">
        <v>50</v>
      </c>
      <c r="W297" s="70">
        <v>50</v>
      </c>
      <c r="X297" s="62">
        <f>G297-W297</f>
        <v>0</v>
      </c>
    </row>
    <row r="298" spans="1:24" ht="15.75">
      <c r="A298" s="257" t="s">
        <v>585</v>
      </c>
      <c r="B298" s="66"/>
      <c r="C298" s="48" t="s">
        <v>129</v>
      </c>
      <c r="D298" s="48" t="s">
        <v>157</v>
      </c>
      <c r="E298" s="56" t="s">
        <v>705</v>
      </c>
      <c r="F298" s="56"/>
      <c r="G298" s="70">
        <f>G299</f>
        <v>1011.3</v>
      </c>
      <c r="W298" s="70">
        <f>W299</f>
        <v>0</v>
      </c>
      <c r="X298" s="70">
        <f>X299</f>
        <v>1011.3</v>
      </c>
    </row>
    <row r="299" spans="1:24" ht="31.5">
      <c r="A299" s="163" t="s">
        <v>190</v>
      </c>
      <c r="B299" s="66"/>
      <c r="C299" s="48" t="s">
        <v>129</v>
      </c>
      <c r="D299" s="48" t="s">
        <v>157</v>
      </c>
      <c r="E299" s="56" t="s">
        <v>705</v>
      </c>
      <c r="F299" s="56" t="s">
        <v>178</v>
      </c>
      <c r="G299" s="70">
        <f>G300</f>
        <v>1011.3</v>
      </c>
      <c r="W299" s="70">
        <f>W300</f>
        <v>0</v>
      </c>
      <c r="X299" s="70">
        <f>X300</f>
        <v>1011.3</v>
      </c>
    </row>
    <row r="300" spans="1:24" ht="15.75">
      <c r="A300" s="253" t="s">
        <v>191</v>
      </c>
      <c r="B300" s="66"/>
      <c r="C300" s="48" t="s">
        <v>129</v>
      </c>
      <c r="D300" s="48" t="s">
        <v>157</v>
      </c>
      <c r="E300" s="56" t="s">
        <v>705</v>
      </c>
      <c r="F300" s="56" t="s">
        <v>192</v>
      </c>
      <c r="G300" s="70">
        <v>1011.3</v>
      </c>
      <c r="W300" s="70">
        <v>0</v>
      </c>
      <c r="X300" s="62">
        <f>G300-W300</f>
        <v>1011.3</v>
      </c>
    </row>
    <row r="301" spans="1:24" ht="63">
      <c r="A301" s="263" t="s">
        <v>249</v>
      </c>
      <c r="B301" s="66"/>
      <c r="C301" s="48" t="s">
        <v>129</v>
      </c>
      <c r="D301" s="48" t="s">
        <v>157</v>
      </c>
      <c r="E301" s="49" t="s">
        <v>244</v>
      </c>
      <c r="F301" s="56"/>
      <c r="G301" s="70">
        <f>G302</f>
        <v>1229.186</v>
      </c>
      <c r="W301" s="70">
        <f>W302</f>
        <v>1229.2</v>
      </c>
      <c r="X301" s="70">
        <f>X302</f>
        <v>-0.014000000000123691</v>
      </c>
    </row>
    <row r="302" spans="1:24" ht="31.5">
      <c r="A302" s="163" t="s">
        <v>190</v>
      </c>
      <c r="B302" s="66"/>
      <c r="C302" s="48" t="s">
        <v>129</v>
      </c>
      <c r="D302" s="48" t="s">
        <v>157</v>
      </c>
      <c r="E302" s="49" t="s">
        <v>244</v>
      </c>
      <c r="F302" s="56" t="s">
        <v>178</v>
      </c>
      <c r="G302" s="70">
        <f>G303</f>
        <v>1229.186</v>
      </c>
      <c r="W302" s="70">
        <f>W303</f>
        <v>1229.2</v>
      </c>
      <c r="X302" s="70">
        <f>X303</f>
        <v>-0.014000000000123691</v>
      </c>
    </row>
    <row r="303" spans="1:24" ht="15.75">
      <c r="A303" s="253" t="s">
        <v>191</v>
      </c>
      <c r="B303" s="66"/>
      <c r="C303" s="48" t="s">
        <v>129</v>
      </c>
      <c r="D303" s="48" t="s">
        <v>157</v>
      </c>
      <c r="E303" s="49" t="s">
        <v>244</v>
      </c>
      <c r="F303" s="56" t="s">
        <v>192</v>
      </c>
      <c r="G303" s="70">
        <v>1229.186</v>
      </c>
      <c r="W303" s="70">
        <f>1373.9-144.7</f>
        <v>1229.2</v>
      </c>
      <c r="X303" s="62">
        <f>G303-W303</f>
        <v>-0.014000000000123691</v>
      </c>
    </row>
    <row r="304" spans="1:24" ht="15.75">
      <c r="A304" s="34" t="s">
        <v>272</v>
      </c>
      <c r="B304" s="47"/>
      <c r="C304" s="48" t="s">
        <v>129</v>
      </c>
      <c r="D304" s="48" t="s">
        <v>157</v>
      </c>
      <c r="E304" s="49" t="s">
        <v>78</v>
      </c>
      <c r="F304" s="56"/>
      <c r="G304" s="62">
        <f>G305</f>
        <v>144906</v>
      </c>
      <c r="W304" s="62">
        <f>W305</f>
        <v>144906</v>
      </c>
      <c r="X304" s="62">
        <f>X305</f>
        <v>0</v>
      </c>
    </row>
    <row r="305" spans="1:24" ht="31.5">
      <c r="A305" s="163" t="s">
        <v>190</v>
      </c>
      <c r="B305" s="47"/>
      <c r="C305" s="48" t="s">
        <v>176</v>
      </c>
      <c r="D305" s="48" t="s">
        <v>157</v>
      </c>
      <c r="E305" s="49" t="s">
        <v>78</v>
      </c>
      <c r="F305" s="56" t="s">
        <v>178</v>
      </c>
      <c r="G305" s="70">
        <f>G306</f>
        <v>144906</v>
      </c>
      <c r="W305" s="70">
        <f>W306</f>
        <v>144906</v>
      </c>
      <c r="X305" s="70">
        <f>X306</f>
        <v>0</v>
      </c>
    </row>
    <row r="306" spans="1:24" ht="15.75">
      <c r="A306" s="253" t="s">
        <v>191</v>
      </c>
      <c r="B306" s="47"/>
      <c r="C306" s="48" t="s">
        <v>129</v>
      </c>
      <c r="D306" s="48" t="s">
        <v>157</v>
      </c>
      <c r="E306" s="49" t="s">
        <v>78</v>
      </c>
      <c r="F306" s="56" t="s">
        <v>192</v>
      </c>
      <c r="G306" s="70">
        <v>144906</v>
      </c>
      <c r="W306" s="70">
        <v>144906</v>
      </c>
      <c r="X306" s="62">
        <f>G306-W306</f>
        <v>0</v>
      </c>
    </row>
    <row r="307" spans="1:24" ht="15.75">
      <c r="A307" s="257" t="s">
        <v>585</v>
      </c>
      <c r="B307" s="66"/>
      <c r="C307" s="48" t="s">
        <v>129</v>
      </c>
      <c r="D307" s="48" t="s">
        <v>157</v>
      </c>
      <c r="E307" s="56" t="s">
        <v>586</v>
      </c>
      <c r="F307" s="56"/>
      <c r="G307" s="70">
        <f>G308</f>
        <v>1031.6</v>
      </c>
      <c r="W307" s="70">
        <f>W308</f>
        <v>1031.6</v>
      </c>
      <c r="X307" s="70">
        <f>X308</f>
        <v>0</v>
      </c>
    </row>
    <row r="308" spans="1:24" ht="31.5">
      <c r="A308" s="163" t="s">
        <v>190</v>
      </c>
      <c r="B308" s="66"/>
      <c r="C308" s="48" t="s">
        <v>129</v>
      </c>
      <c r="D308" s="48" t="s">
        <v>157</v>
      </c>
      <c r="E308" s="56" t="s">
        <v>586</v>
      </c>
      <c r="F308" s="56" t="s">
        <v>178</v>
      </c>
      <c r="G308" s="70">
        <f>G309</f>
        <v>1031.6</v>
      </c>
      <c r="W308" s="70">
        <f>W309</f>
        <v>1031.6</v>
      </c>
      <c r="X308" s="70">
        <f>X309</f>
        <v>0</v>
      </c>
    </row>
    <row r="309" spans="1:24" ht="15.75">
      <c r="A309" s="253" t="s">
        <v>191</v>
      </c>
      <c r="B309" s="66"/>
      <c r="C309" s="48" t="s">
        <v>129</v>
      </c>
      <c r="D309" s="48" t="s">
        <v>157</v>
      </c>
      <c r="E309" s="56" t="s">
        <v>586</v>
      </c>
      <c r="F309" s="56" t="s">
        <v>192</v>
      </c>
      <c r="G309" s="70">
        <f>800+231.6</f>
        <v>1031.6</v>
      </c>
      <c r="W309" s="70">
        <f>800+231.6</f>
        <v>1031.6</v>
      </c>
      <c r="X309" s="62">
        <f>G309-W309</f>
        <v>0</v>
      </c>
    </row>
    <row r="310" spans="1:24" ht="78.75">
      <c r="A310" s="235" t="s">
        <v>552</v>
      </c>
      <c r="B310" s="47"/>
      <c r="C310" s="48" t="s">
        <v>129</v>
      </c>
      <c r="D310" s="48" t="s">
        <v>157</v>
      </c>
      <c r="E310" s="49" t="s">
        <v>420</v>
      </c>
      <c r="F310" s="56"/>
      <c r="G310" s="70">
        <f>G311</f>
        <v>50</v>
      </c>
      <c r="W310" s="70">
        <f>W311</f>
        <v>50</v>
      </c>
      <c r="X310" s="70">
        <f>X311</f>
        <v>0</v>
      </c>
    </row>
    <row r="311" spans="1:24" ht="31.5">
      <c r="A311" s="163" t="s">
        <v>190</v>
      </c>
      <c r="B311" s="47"/>
      <c r="C311" s="48" t="s">
        <v>176</v>
      </c>
      <c r="D311" s="48" t="s">
        <v>157</v>
      </c>
      <c r="E311" s="49" t="s">
        <v>420</v>
      </c>
      <c r="F311" s="56" t="s">
        <v>178</v>
      </c>
      <c r="G311" s="70">
        <f>G312</f>
        <v>50</v>
      </c>
      <c r="W311" s="70">
        <f>W312</f>
        <v>50</v>
      </c>
      <c r="X311" s="70">
        <f>X312</f>
        <v>0</v>
      </c>
    </row>
    <row r="312" spans="1:24" ht="15.75">
      <c r="A312" s="235" t="s">
        <v>191</v>
      </c>
      <c r="B312" s="47"/>
      <c r="C312" s="48" t="s">
        <v>129</v>
      </c>
      <c r="D312" s="48" t="s">
        <v>157</v>
      </c>
      <c r="E312" s="49" t="s">
        <v>420</v>
      </c>
      <c r="F312" s="56" t="s">
        <v>192</v>
      </c>
      <c r="G312" s="70">
        <v>50</v>
      </c>
      <c r="W312" s="70">
        <v>50</v>
      </c>
      <c r="X312" s="62">
        <f>G312-W312</f>
        <v>0</v>
      </c>
    </row>
    <row r="313" spans="1:24" ht="31.5">
      <c r="A313" s="244" t="s">
        <v>595</v>
      </c>
      <c r="B313" s="86"/>
      <c r="C313" s="80" t="s">
        <v>129</v>
      </c>
      <c r="D313" s="80" t="s">
        <v>157</v>
      </c>
      <c r="E313" s="56" t="s">
        <v>596</v>
      </c>
      <c r="F313" s="76"/>
      <c r="G313" s="70">
        <f>G314</f>
        <v>609.1</v>
      </c>
      <c r="W313" s="70">
        <f>W314</f>
        <v>609.1</v>
      </c>
      <c r="X313" s="70">
        <f>X314</f>
        <v>0</v>
      </c>
    </row>
    <row r="314" spans="1:24" ht="31.5">
      <c r="A314" s="260" t="s">
        <v>190</v>
      </c>
      <c r="B314" s="86"/>
      <c r="C314" s="80" t="s">
        <v>129</v>
      </c>
      <c r="D314" s="80" t="s">
        <v>157</v>
      </c>
      <c r="E314" s="56" t="s">
        <v>596</v>
      </c>
      <c r="F314" s="76" t="s">
        <v>178</v>
      </c>
      <c r="G314" s="70">
        <f>G315</f>
        <v>609.1</v>
      </c>
      <c r="W314" s="70">
        <f>W315</f>
        <v>609.1</v>
      </c>
      <c r="X314" s="70">
        <f>X315</f>
        <v>0</v>
      </c>
    </row>
    <row r="315" spans="1:24" ht="15.75">
      <c r="A315" s="262" t="s">
        <v>191</v>
      </c>
      <c r="B315" s="86"/>
      <c r="C315" s="80" t="s">
        <v>129</v>
      </c>
      <c r="D315" s="80" t="s">
        <v>157</v>
      </c>
      <c r="E315" s="56" t="s">
        <v>596</v>
      </c>
      <c r="F315" s="76" t="s">
        <v>192</v>
      </c>
      <c r="G315" s="70">
        <v>609.1</v>
      </c>
      <c r="W315" s="70">
        <v>609.1</v>
      </c>
      <c r="X315" s="62">
        <f>G315-W315</f>
        <v>0</v>
      </c>
    </row>
    <row r="316" spans="1:24" s="13" customFormat="1" ht="31.5">
      <c r="A316" s="234" t="s">
        <v>539</v>
      </c>
      <c r="B316" s="204"/>
      <c r="C316" s="93" t="s">
        <v>129</v>
      </c>
      <c r="D316" s="93" t="s">
        <v>157</v>
      </c>
      <c r="E316" s="98" t="s">
        <v>80</v>
      </c>
      <c r="F316" s="175"/>
      <c r="G316" s="58">
        <f>G317</f>
        <v>200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2"/>
      <c r="R316" s="31"/>
      <c r="S316" s="31"/>
      <c r="T316" s="31"/>
      <c r="U316" s="31"/>
      <c r="V316" s="31"/>
      <c r="W316" s="58">
        <f aca="true" t="shared" si="28" ref="W316:X318">W317</f>
        <v>200</v>
      </c>
      <c r="X316" s="58">
        <f t="shared" si="28"/>
        <v>0</v>
      </c>
    </row>
    <row r="317" spans="1:24" ht="15.75" customHeight="1">
      <c r="A317" s="259" t="s">
        <v>540</v>
      </c>
      <c r="B317" s="86"/>
      <c r="C317" s="80" t="s">
        <v>129</v>
      </c>
      <c r="D317" s="80" t="s">
        <v>157</v>
      </c>
      <c r="E317" s="81" t="s">
        <v>81</v>
      </c>
      <c r="F317" s="76"/>
      <c r="G317" s="62">
        <f>G318</f>
        <v>200</v>
      </c>
      <c r="W317" s="62">
        <f t="shared" si="28"/>
        <v>200</v>
      </c>
      <c r="X317" s="62">
        <f t="shared" si="28"/>
        <v>0</v>
      </c>
    </row>
    <row r="318" spans="1:24" ht="21" customHeight="1">
      <c r="A318" s="260" t="s">
        <v>190</v>
      </c>
      <c r="B318" s="86"/>
      <c r="C318" s="80" t="s">
        <v>129</v>
      </c>
      <c r="D318" s="80" t="s">
        <v>157</v>
      </c>
      <c r="E318" s="81" t="s">
        <v>81</v>
      </c>
      <c r="F318" s="76" t="s">
        <v>178</v>
      </c>
      <c r="G318" s="62">
        <f>G319</f>
        <v>200</v>
      </c>
      <c r="W318" s="62">
        <f t="shared" si="28"/>
        <v>200</v>
      </c>
      <c r="X318" s="62">
        <f t="shared" si="28"/>
        <v>0</v>
      </c>
    </row>
    <row r="319" spans="1:24" ht="15.75">
      <c r="A319" s="261" t="s">
        <v>191</v>
      </c>
      <c r="B319" s="86"/>
      <c r="C319" s="80" t="s">
        <v>129</v>
      </c>
      <c r="D319" s="80" t="s">
        <v>157</v>
      </c>
      <c r="E319" s="81" t="s">
        <v>81</v>
      </c>
      <c r="F319" s="76" t="s">
        <v>192</v>
      </c>
      <c r="G319" s="62">
        <v>200</v>
      </c>
      <c r="W319" s="62">
        <v>200</v>
      </c>
      <c r="X319" s="62">
        <f>G319-W319</f>
        <v>0</v>
      </c>
    </row>
    <row r="320" spans="1:24" ht="15.75">
      <c r="A320" s="258" t="s">
        <v>167</v>
      </c>
      <c r="B320" s="80"/>
      <c r="C320" s="93" t="s">
        <v>129</v>
      </c>
      <c r="D320" s="93" t="s">
        <v>171</v>
      </c>
      <c r="E320" s="81"/>
      <c r="F320" s="76"/>
      <c r="G320" s="58">
        <f>G321+G377+G382</f>
        <v>438698.36600000004</v>
      </c>
      <c r="R320" s="333">
        <f>G320+G377+G382</f>
        <v>439198.36600000004</v>
      </c>
      <c r="W320" s="58">
        <f>W321+W377+W382</f>
        <v>438698.5017</v>
      </c>
      <c r="X320" s="58">
        <f>X321+X377+X382</f>
        <v>-0.1356999999786126</v>
      </c>
    </row>
    <row r="321" spans="1:24" ht="15.75">
      <c r="A321" s="234" t="s">
        <v>546</v>
      </c>
      <c r="B321" s="93"/>
      <c r="C321" s="93" t="s">
        <v>129</v>
      </c>
      <c r="D321" s="93" t="s">
        <v>171</v>
      </c>
      <c r="E321" s="98" t="s">
        <v>11</v>
      </c>
      <c r="F321" s="175"/>
      <c r="G321" s="58">
        <f>G322</f>
        <v>438198.36600000004</v>
      </c>
      <c r="W321" s="58">
        <f>W322</f>
        <v>438198.5017</v>
      </c>
      <c r="X321" s="58">
        <f>X322</f>
        <v>-0.1356999999786126</v>
      </c>
    </row>
    <row r="322" spans="1:24" ht="31.5">
      <c r="A322" s="258" t="s">
        <v>543</v>
      </c>
      <c r="B322" s="93"/>
      <c r="C322" s="93" t="s">
        <v>129</v>
      </c>
      <c r="D322" s="93" t="s">
        <v>171</v>
      </c>
      <c r="E322" s="98" t="s">
        <v>28</v>
      </c>
      <c r="F322" s="175"/>
      <c r="G322" s="58">
        <f>G323+G326+G329+G332+G335+G341+G344+G347+G353+G356+G359+G362+G365+G368+G371+G350+G374</f>
        <v>438198.36600000004</v>
      </c>
      <c r="H322" s="58">
        <f aca="true" t="shared" si="29" ref="H322:X322">H323+H326+H329+H332+H335+H341+H344+H347+H353+H356+H359+H362+H365+H368+H371+H350+H374</f>
        <v>0</v>
      </c>
      <c r="I322" s="58">
        <f t="shared" si="29"/>
        <v>150</v>
      </c>
      <c r="J322" s="58">
        <f t="shared" si="29"/>
        <v>0</v>
      </c>
      <c r="K322" s="58">
        <f t="shared" si="29"/>
        <v>0</v>
      </c>
      <c r="L322" s="58">
        <f t="shared" si="29"/>
        <v>0</v>
      </c>
      <c r="M322" s="58">
        <f t="shared" si="29"/>
        <v>0</v>
      </c>
      <c r="N322" s="58">
        <f t="shared" si="29"/>
        <v>0</v>
      </c>
      <c r="O322" s="58">
        <f t="shared" si="29"/>
        <v>0</v>
      </c>
      <c r="P322" s="58">
        <f t="shared" si="29"/>
        <v>0</v>
      </c>
      <c r="Q322" s="58">
        <f t="shared" si="29"/>
        <v>0</v>
      </c>
      <c r="R322" s="58">
        <f t="shared" si="29"/>
        <v>0</v>
      </c>
      <c r="S322" s="58">
        <f t="shared" si="29"/>
        <v>0</v>
      </c>
      <c r="T322" s="58">
        <f t="shared" si="29"/>
        <v>0</v>
      </c>
      <c r="U322" s="58">
        <f t="shared" si="29"/>
        <v>0</v>
      </c>
      <c r="V322" s="58">
        <f t="shared" si="29"/>
        <v>0</v>
      </c>
      <c r="W322" s="58">
        <f>W323+W326+W329+W332+W335+W341+W344+W347+W353+W356+W359+W362+W365+W368+W371+W350+W374</f>
        <v>438198.5017</v>
      </c>
      <c r="X322" s="58">
        <f t="shared" si="29"/>
        <v>-0.1356999999786126</v>
      </c>
    </row>
    <row r="323" spans="1:24" ht="15.75">
      <c r="A323" s="259" t="s">
        <v>104</v>
      </c>
      <c r="B323" s="82"/>
      <c r="C323" s="80" t="s">
        <v>129</v>
      </c>
      <c r="D323" s="80" t="s">
        <v>171</v>
      </c>
      <c r="E323" s="81" t="s">
        <v>29</v>
      </c>
      <c r="F323" s="76"/>
      <c r="G323" s="70">
        <f>G324</f>
        <v>146838.75</v>
      </c>
      <c r="W323" s="70">
        <f>W324</f>
        <v>146838.8</v>
      </c>
      <c r="X323" s="70">
        <f>X324</f>
        <v>-0.04999999998835847</v>
      </c>
    </row>
    <row r="324" spans="1:24" ht="31.5">
      <c r="A324" s="260" t="s">
        <v>190</v>
      </c>
      <c r="B324" s="82"/>
      <c r="C324" s="80" t="s">
        <v>129</v>
      </c>
      <c r="D324" s="80" t="s">
        <v>171</v>
      </c>
      <c r="E324" s="81" t="s">
        <v>29</v>
      </c>
      <c r="F324" s="76" t="s">
        <v>178</v>
      </c>
      <c r="G324" s="62">
        <f>G325</f>
        <v>146838.75</v>
      </c>
      <c r="W324" s="62">
        <f>W325</f>
        <v>146838.8</v>
      </c>
      <c r="X324" s="62">
        <f>X325</f>
        <v>-0.04999999998835847</v>
      </c>
    </row>
    <row r="325" spans="1:24" ht="15.75">
      <c r="A325" s="261" t="s">
        <v>191</v>
      </c>
      <c r="B325" s="82"/>
      <c r="C325" s="80" t="s">
        <v>129</v>
      </c>
      <c r="D325" s="80" t="s">
        <v>171</v>
      </c>
      <c r="E325" s="81" t="s">
        <v>29</v>
      </c>
      <c r="F325" s="76" t="s">
        <v>192</v>
      </c>
      <c r="G325" s="62">
        <v>146838.75</v>
      </c>
      <c r="W325" s="62">
        <v>146838.8</v>
      </c>
      <c r="X325" s="62">
        <f>G325-W325</f>
        <v>-0.04999999998835847</v>
      </c>
    </row>
    <row r="326" spans="1:24" ht="18.75" customHeight="1">
      <c r="A326" s="244" t="s">
        <v>216</v>
      </c>
      <c r="B326" s="82"/>
      <c r="C326" s="80" t="s">
        <v>129</v>
      </c>
      <c r="D326" s="80" t="s">
        <v>171</v>
      </c>
      <c r="E326" s="81" t="s">
        <v>222</v>
      </c>
      <c r="F326" s="76"/>
      <c r="G326" s="62">
        <f>G327</f>
        <v>1000</v>
      </c>
      <c r="W326" s="62">
        <f>W327</f>
        <v>1000</v>
      </c>
      <c r="X326" s="62">
        <f>X327</f>
        <v>0</v>
      </c>
    </row>
    <row r="327" spans="1:24" ht="31.5">
      <c r="A327" s="260" t="s">
        <v>190</v>
      </c>
      <c r="B327" s="82"/>
      <c r="C327" s="80" t="s">
        <v>129</v>
      </c>
      <c r="D327" s="80" t="s">
        <v>171</v>
      </c>
      <c r="E327" s="81" t="s">
        <v>222</v>
      </c>
      <c r="F327" s="76" t="s">
        <v>178</v>
      </c>
      <c r="G327" s="62">
        <f>G328</f>
        <v>1000</v>
      </c>
      <c r="W327" s="62">
        <f>W328</f>
        <v>1000</v>
      </c>
      <c r="X327" s="62">
        <f>X328</f>
        <v>0</v>
      </c>
    </row>
    <row r="328" spans="1:24" s="307" customFormat="1" ht="15.75">
      <c r="A328" s="261" t="s">
        <v>191</v>
      </c>
      <c r="B328" s="82"/>
      <c r="C328" s="80" t="s">
        <v>129</v>
      </c>
      <c r="D328" s="80" t="s">
        <v>171</v>
      </c>
      <c r="E328" s="81" t="s">
        <v>222</v>
      </c>
      <c r="F328" s="76" t="s">
        <v>192</v>
      </c>
      <c r="G328" s="62">
        <v>1000</v>
      </c>
      <c r="H328" s="336"/>
      <c r="I328" s="336"/>
      <c r="J328" s="336"/>
      <c r="K328" s="336"/>
      <c r="L328" s="336"/>
      <c r="M328" s="336"/>
      <c r="N328" s="336"/>
      <c r="O328" s="336"/>
      <c r="P328" s="336"/>
      <c r="Q328" s="337"/>
      <c r="R328" s="336"/>
      <c r="S328" s="336"/>
      <c r="T328" s="336"/>
      <c r="U328" s="336"/>
      <c r="V328" s="336"/>
      <c r="W328" s="62">
        <v>1000</v>
      </c>
      <c r="X328" s="62">
        <f>G328-W328</f>
        <v>0</v>
      </c>
    </row>
    <row r="329" spans="1:24" s="307" customFormat="1" ht="31.5">
      <c r="A329" s="305" t="s">
        <v>632</v>
      </c>
      <c r="B329" s="82"/>
      <c r="C329" s="80" t="s">
        <v>129</v>
      </c>
      <c r="D329" s="80" t="s">
        <v>171</v>
      </c>
      <c r="E329" s="76" t="s">
        <v>413</v>
      </c>
      <c r="F329" s="76"/>
      <c r="G329" s="62">
        <f>G330</f>
        <v>1000</v>
      </c>
      <c r="H329" s="336"/>
      <c r="I329" s="336"/>
      <c r="J329" s="336"/>
      <c r="K329" s="336"/>
      <c r="L329" s="336"/>
      <c r="M329" s="336"/>
      <c r="N329" s="336"/>
      <c r="O329" s="336"/>
      <c r="P329" s="336"/>
      <c r="Q329" s="337"/>
      <c r="R329" s="336"/>
      <c r="S329" s="336"/>
      <c r="T329" s="336"/>
      <c r="U329" s="336"/>
      <c r="V329" s="336"/>
      <c r="W329" s="62">
        <f>W330</f>
        <v>1000</v>
      </c>
      <c r="X329" s="62">
        <f>X330</f>
        <v>0</v>
      </c>
    </row>
    <row r="330" spans="1:24" s="307" customFormat="1" ht="31.5">
      <c r="A330" s="260" t="s">
        <v>190</v>
      </c>
      <c r="B330" s="82"/>
      <c r="C330" s="80" t="s">
        <v>129</v>
      </c>
      <c r="D330" s="80" t="s">
        <v>171</v>
      </c>
      <c r="E330" s="76" t="s">
        <v>413</v>
      </c>
      <c r="F330" s="76" t="s">
        <v>178</v>
      </c>
      <c r="G330" s="62">
        <f>G331</f>
        <v>1000</v>
      </c>
      <c r="H330" s="336"/>
      <c r="I330" s="336"/>
      <c r="J330" s="336"/>
      <c r="K330" s="336"/>
      <c r="L330" s="336"/>
      <c r="M330" s="336"/>
      <c r="N330" s="336"/>
      <c r="O330" s="336"/>
      <c r="P330" s="336"/>
      <c r="Q330" s="337"/>
      <c r="R330" s="336"/>
      <c r="S330" s="336"/>
      <c r="T330" s="336"/>
      <c r="U330" s="336"/>
      <c r="V330" s="336"/>
      <c r="W330" s="62">
        <f>W331</f>
        <v>1000</v>
      </c>
      <c r="X330" s="62">
        <f>X331</f>
        <v>0</v>
      </c>
    </row>
    <row r="331" spans="1:24" s="307" customFormat="1" ht="15.75">
      <c r="A331" s="261" t="s">
        <v>191</v>
      </c>
      <c r="B331" s="82"/>
      <c r="C331" s="80" t="s">
        <v>129</v>
      </c>
      <c r="D331" s="80" t="s">
        <v>171</v>
      </c>
      <c r="E331" s="76" t="s">
        <v>413</v>
      </c>
      <c r="F331" s="76" t="s">
        <v>192</v>
      </c>
      <c r="G331" s="62">
        <v>1000</v>
      </c>
      <c r="H331" s="336"/>
      <c r="I331" s="336"/>
      <c r="J331" s="336"/>
      <c r="K331" s="336"/>
      <c r="L331" s="336"/>
      <c r="M331" s="336"/>
      <c r="N331" s="336"/>
      <c r="O331" s="336"/>
      <c r="P331" s="336"/>
      <c r="Q331" s="337"/>
      <c r="R331" s="336"/>
      <c r="S331" s="336"/>
      <c r="T331" s="336"/>
      <c r="U331" s="336"/>
      <c r="V331" s="336"/>
      <c r="W331" s="62">
        <v>1000</v>
      </c>
      <c r="X331" s="62">
        <f>G331-W331</f>
        <v>0</v>
      </c>
    </row>
    <row r="332" spans="1:24" s="307" customFormat="1" ht="15.75">
      <c r="A332" s="244" t="s">
        <v>266</v>
      </c>
      <c r="B332" s="86"/>
      <c r="C332" s="80" t="s">
        <v>129</v>
      </c>
      <c r="D332" s="80" t="s">
        <v>171</v>
      </c>
      <c r="E332" s="81" t="s">
        <v>30</v>
      </c>
      <c r="F332" s="76"/>
      <c r="G332" s="62">
        <f>G333</f>
        <v>2560.1</v>
      </c>
      <c r="H332" s="336"/>
      <c r="I332" s="336"/>
      <c r="J332" s="336"/>
      <c r="K332" s="336"/>
      <c r="L332" s="336"/>
      <c r="M332" s="336"/>
      <c r="N332" s="336"/>
      <c r="O332" s="336"/>
      <c r="P332" s="336"/>
      <c r="Q332" s="337"/>
      <c r="R332" s="336"/>
      <c r="S332" s="336"/>
      <c r="T332" s="336"/>
      <c r="U332" s="336"/>
      <c r="V332" s="336"/>
      <c r="W332" s="62">
        <f>W333</f>
        <v>2560.1</v>
      </c>
      <c r="X332" s="62">
        <f>X333</f>
        <v>0</v>
      </c>
    </row>
    <row r="333" spans="1:24" s="307" customFormat="1" ht="31.5">
      <c r="A333" s="260" t="s">
        <v>190</v>
      </c>
      <c r="B333" s="86"/>
      <c r="C333" s="80" t="s">
        <v>129</v>
      </c>
      <c r="D333" s="80" t="s">
        <v>171</v>
      </c>
      <c r="E333" s="81" t="s">
        <v>30</v>
      </c>
      <c r="F333" s="76" t="s">
        <v>178</v>
      </c>
      <c r="G333" s="62">
        <f>G334</f>
        <v>2560.1</v>
      </c>
      <c r="H333" s="336"/>
      <c r="I333" s="336"/>
      <c r="J333" s="336"/>
      <c r="K333" s="336"/>
      <c r="L333" s="336"/>
      <c r="M333" s="336"/>
      <c r="N333" s="336"/>
      <c r="O333" s="336"/>
      <c r="P333" s="336"/>
      <c r="Q333" s="337"/>
      <c r="R333" s="336"/>
      <c r="S333" s="336"/>
      <c r="T333" s="336"/>
      <c r="U333" s="336"/>
      <c r="V333" s="336"/>
      <c r="W333" s="62">
        <f>W334</f>
        <v>2560.1</v>
      </c>
      <c r="X333" s="62">
        <f>X334</f>
        <v>0</v>
      </c>
    </row>
    <row r="334" spans="1:24" s="307" customFormat="1" ht="15.75">
      <c r="A334" s="261" t="s">
        <v>191</v>
      </c>
      <c r="B334" s="86"/>
      <c r="C334" s="80" t="s">
        <v>129</v>
      </c>
      <c r="D334" s="80" t="s">
        <v>171</v>
      </c>
      <c r="E334" s="81" t="s">
        <v>30</v>
      </c>
      <c r="F334" s="76" t="s">
        <v>192</v>
      </c>
      <c r="G334" s="62">
        <v>2560.1</v>
      </c>
      <c r="H334" s="336"/>
      <c r="I334" s="336"/>
      <c r="J334" s="336"/>
      <c r="K334" s="336"/>
      <c r="L334" s="336"/>
      <c r="M334" s="336"/>
      <c r="N334" s="336"/>
      <c r="O334" s="336"/>
      <c r="P334" s="336"/>
      <c r="Q334" s="337"/>
      <c r="R334" s="336"/>
      <c r="S334" s="336"/>
      <c r="T334" s="336"/>
      <c r="U334" s="336"/>
      <c r="V334" s="336"/>
      <c r="W334" s="62">
        <v>2560.1</v>
      </c>
      <c r="X334" s="62">
        <f>G334-W334</f>
        <v>0</v>
      </c>
    </row>
    <row r="335" spans="1:24" s="307" customFormat="1" ht="31.5">
      <c r="A335" s="244" t="s">
        <v>267</v>
      </c>
      <c r="B335" s="86"/>
      <c r="C335" s="80" t="s">
        <v>129</v>
      </c>
      <c r="D335" s="80" t="s">
        <v>171</v>
      </c>
      <c r="E335" s="81" t="s">
        <v>31</v>
      </c>
      <c r="F335" s="76"/>
      <c r="G335" s="62">
        <f>G339+G336</f>
        <v>422.5</v>
      </c>
      <c r="H335" s="336"/>
      <c r="I335" s="336"/>
      <c r="J335" s="336"/>
      <c r="K335" s="336"/>
      <c r="L335" s="336"/>
      <c r="M335" s="336"/>
      <c r="N335" s="336"/>
      <c r="O335" s="336"/>
      <c r="P335" s="336"/>
      <c r="Q335" s="337"/>
      <c r="R335" s="336"/>
      <c r="S335" s="336"/>
      <c r="T335" s="336"/>
      <c r="U335" s="336"/>
      <c r="V335" s="336"/>
      <c r="W335" s="62">
        <f>W339+W336</f>
        <v>422.5</v>
      </c>
      <c r="X335" s="62">
        <f>X339+X336</f>
        <v>0</v>
      </c>
    </row>
    <row r="336" spans="1:24" s="307" customFormat="1" ht="15.75">
      <c r="A336" s="248" t="s">
        <v>89</v>
      </c>
      <c r="B336" s="86"/>
      <c r="C336" s="80" t="s">
        <v>129</v>
      </c>
      <c r="D336" s="80" t="s">
        <v>171</v>
      </c>
      <c r="E336" s="81" t="s">
        <v>31</v>
      </c>
      <c r="F336" s="76" t="s">
        <v>85</v>
      </c>
      <c r="G336" s="62">
        <f>G337+G338</f>
        <v>252.5</v>
      </c>
      <c r="H336" s="336"/>
      <c r="I336" s="336"/>
      <c r="J336" s="336"/>
      <c r="K336" s="336"/>
      <c r="L336" s="336"/>
      <c r="M336" s="336"/>
      <c r="N336" s="336"/>
      <c r="O336" s="336"/>
      <c r="P336" s="336"/>
      <c r="Q336" s="337"/>
      <c r="R336" s="336"/>
      <c r="S336" s="336"/>
      <c r="T336" s="336"/>
      <c r="U336" s="336"/>
      <c r="V336" s="336"/>
      <c r="W336" s="62">
        <f>W337+W338</f>
        <v>252.5</v>
      </c>
      <c r="X336" s="62">
        <f>X337+X338</f>
        <v>0</v>
      </c>
    </row>
    <row r="337" spans="1:24" s="307" customFormat="1" ht="15.75">
      <c r="A337" s="262" t="s">
        <v>84</v>
      </c>
      <c r="B337" s="86"/>
      <c r="C337" s="80" t="s">
        <v>129</v>
      </c>
      <c r="D337" s="80" t="s">
        <v>171</v>
      </c>
      <c r="E337" s="81" t="s">
        <v>31</v>
      </c>
      <c r="F337" s="76" t="s">
        <v>86</v>
      </c>
      <c r="G337" s="62">
        <v>180</v>
      </c>
      <c r="H337" s="336"/>
      <c r="I337" s="336"/>
      <c r="J337" s="336"/>
      <c r="K337" s="336"/>
      <c r="L337" s="336"/>
      <c r="M337" s="336"/>
      <c r="N337" s="336"/>
      <c r="O337" s="336"/>
      <c r="P337" s="336"/>
      <c r="Q337" s="337"/>
      <c r="R337" s="336"/>
      <c r="S337" s="336"/>
      <c r="T337" s="336"/>
      <c r="U337" s="336"/>
      <c r="V337" s="336"/>
      <c r="W337" s="62">
        <v>180</v>
      </c>
      <c r="X337" s="62">
        <f>G337-W337</f>
        <v>0</v>
      </c>
    </row>
    <row r="338" spans="1:24" s="307" customFormat="1" ht="15.75">
      <c r="A338" s="264" t="s">
        <v>235</v>
      </c>
      <c r="B338" s="86"/>
      <c r="C338" s="80" t="s">
        <v>129</v>
      </c>
      <c r="D338" s="80" t="s">
        <v>171</v>
      </c>
      <c r="E338" s="81" t="s">
        <v>31</v>
      </c>
      <c r="F338" s="76" t="s">
        <v>234</v>
      </c>
      <c r="G338" s="62">
        <v>72.5</v>
      </c>
      <c r="H338" s="336"/>
      <c r="I338" s="336"/>
      <c r="J338" s="336"/>
      <c r="K338" s="336"/>
      <c r="L338" s="336"/>
      <c r="M338" s="336"/>
      <c r="N338" s="336"/>
      <c r="O338" s="336"/>
      <c r="P338" s="336"/>
      <c r="Q338" s="337"/>
      <c r="R338" s="336"/>
      <c r="S338" s="336"/>
      <c r="T338" s="336"/>
      <c r="U338" s="336"/>
      <c r="V338" s="336"/>
      <c r="W338" s="62">
        <v>72.5</v>
      </c>
      <c r="X338" s="62">
        <f>G338-W338</f>
        <v>0</v>
      </c>
    </row>
    <row r="339" spans="1:24" s="307" customFormat="1" ht="31.5">
      <c r="A339" s="260" t="s">
        <v>190</v>
      </c>
      <c r="B339" s="86"/>
      <c r="C339" s="80" t="s">
        <v>129</v>
      </c>
      <c r="D339" s="80" t="s">
        <v>171</v>
      </c>
      <c r="E339" s="81" t="s">
        <v>31</v>
      </c>
      <c r="F339" s="76" t="s">
        <v>178</v>
      </c>
      <c r="G339" s="62">
        <f>G340</f>
        <v>170</v>
      </c>
      <c r="H339" s="336"/>
      <c r="I339" s="336"/>
      <c r="J339" s="336"/>
      <c r="K339" s="336"/>
      <c r="L339" s="336"/>
      <c r="M339" s="336"/>
      <c r="N339" s="336"/>
      <c r="O339" s="336"/>
      <c r="P339" s="336"/>
      <c r="Q339" s="337"/>
      <c r="R339" s="336"/>
      <c r="S339" s="336"/>
      <c r="T339" s="336"/>
      <c r="U339" s="336"/>
      <c r="V339" s="336"/>
      <c r="W339" s="62">
        <f>W340</f>
        <v>170</v>
      </c>
      <c r="X339" s="62">
        <f>X340</f>
        <v>0</v>
      </c>
    </row>
    <row r="340" spans="1:24" s="307" customFormat="1" ht="15.75">
      <c r="A340" s="261" t="s">
        <v>191</v>
      </c>
      <c r="B340" s="86"/>
      <c r="C340" s="80" t="s">
        <v>129</v>
      </c>
      <c r="D340" s="80" t="s">
        <v>171</v>
      </c>
      <c r="E340" s="81" t="s">
        <v>31</v>
      </c>
      <c r="F340" s="76" t="s">
        <v>192</v>
      </c>
      <c r="G340" s="62">
        <v>170</v>
      </c>
      <c r="H340" s="336"/>
      <c r="I340" s="336"/>
      <c r="J340" s="336"/>
      <c r="K340" s="336"/>
      <c r="L340" s="336"/>
      <c r="M340" s="336"/>
      <c r="N340" s="336"/>
      <c r="O340" s="336"/>
      <c r="P340" s="336"/>
      <c r="Q340" s="337"/>
      <c r="R340" s="336"/>
      <c r="S340" s="336"/>
      <c r="T340" s="336"/>
      <c r="U340" s="336"/>
      <c r="V340" s="336"/>
      <c r="W340" s="62">
        <v>170</v>
      </c>
      <c r="X340" s="62">
        <f>G340-W340</f>
        <v>0</v>
      </c>
    </row>
    <row r="341" spans="1:24" s="307" customFormat="1" ht="15.75">
      <c r="A341" s="257" t="s">
        <v>268</v>
      </c>
      <c r="B341" s="66"/>
      <c r="C341" s="48" t="s">
        <v>129</v>
      </c>
      <c r="D341" s="48" t="s">
        <v>171</v>
      </c>
      <c r="E341" s="49" t="s">
        <v>32</v>
      </c>
      <c r="F341" s="56"/>
      <c r="G341" s="62">
        <f>G342</f>
        <v>2853.4</v>
      </c>
      <c r="H341" s="336"/>
      <c r="I341" s="336"/>
      <c r="J341" s="336"/>
      <c r="K341" s="336"/>
      <c r="L341" s="336"/>
      <c r="M341" s="336"/>
      <c r="N341" s="336"/>
      <c r="O341" s="336"/>
      <c r="P341" s="336"/>
      <c r="Q341" s="337"/>
      <c r="R341" s="336"/>
      <c r="S341" s="336"/>
      <c r="T341" s="336"/>
      <c r="U341" s="336"/>
      <c r="V341" s="336"/>
      <c r="W341" s="62">
        <f>W342</f>
        <v>2853.4</v>
      </c>
      <c r="X341" s="62">
        <f>X342</f>
        <v>0</v>
      </c>
    </row>
    <row r="342" spans="1:24" s="307" customFormat="1" ht="31.5">
      <c r="A342" s="163" t="s">
        <v>190</v>
      </c>
      <c r="B342" s="66"/>
      <c r="C342" s="48" t="s">
        <v>129</v>
      </c>
      <c r="D342" s="48" t="s">
        <v>171</v>
      </c>
      <c r="E342" s="49" t="s">
        <v>32</v>
      </c>
      <c r="F342" s="56" t="s">
        <v>178</v>
      </c>
      <c r="G342" s="62">
        <f>G343</f>
        <v>2853.4</v>
      </c>
      <c r="H342" s="336"/>
      <c r="I342" s="336"/>
      <c r="J342" s="336"/>
      <c r="K342" s="336"/>
      <c r="L342" s="336"/>
      <c r="M342" s="336"/>
      <c r="N342" s="336"/>
      <c r="O342" s="336"/>
      <c r="P342" s="336"/>
      <c r="Q342" s="337"/>
      <c r="R342" s="336"/>
      <c r="S342" s="336"/>
      <c r="T342" s="336"/>
      <c r="U342" s="336"/>
      <c r="V342" s="336"/>
      <c r="W342" s="62">
        <f>W343</f>
        <v>2853.4</v>
      </c>
      <c r="X342" s="62">
        <f>X343</f>
        <v>0</v>
      </c>
    </row>
    <row r="343" spans="1:24" s="307" customFormat="1" ht="15.75">
      <c r="A343" s="253" t="s">
        <v>191</v>
      </c>
      <c r="B343" s="66"/>
      <c r="C343" s="48" t="s">
        <v>129</v>
      </c>
      <c r="D343" s="48" t="s">
        <v>171</v>
      </c>
      <c r="E343" s="49" t="s">
        <v>32</v>
      </c>
      <c r="F343" s="56" t="s">
        <v>192</v>
      </c>
      <c r="G343" s="62">
        <v>2853.4</v>
      </c>
      <c r="H343" s="336"/>
      <c r="I343" s="336"/>
      <c r="J343" s="336"/>
      <c r="K343" s="336"/>
      <c r="L343" s="336"/>
      <c r="M343" s="336"/>
      <c r="N343" s="336"/>
      <c r="O343" s="336"/>
      <c r="P343" s="336"/>
      <c r="Q343" s="337"/>
      <c r="R343" s="336"/>
      <c r="S343" s="336"/>
      <c r="T343" s="336"/>
      <c r="U343" s="336"/>
      <c r="V343" s="336"/>
      <c r="W343" s="62">
        <v>2853.4</v>
      </c>
      <c r="X343" s="62">
        <f>G343-W343</f>
        <v>0</v>
      </c>
    </row>
    <row r="344" spans="1:24" s="307" customFormat="1" ht="15.75">
      <c r="A344" s="235" t="s">
        <v>335</v>
      </c>
      <c r="B344" s="66"/>
      <c r="C344" s="48" t="s">
        <v>129</v>
      </c>
      <c r="D344" s="48" t="s">
        <v>171</v>
      </c>
      <c r="E344" s="49" t="s">
        <v>421</v>
      </c>
      <c r="F344" s="56"/>
      <c r="G344" s="62">
        <f>G345</f>
        <v>750</v>
      </c>
      <c r="H344" s="336"/>
      <c r="I344" s="336"/>
      <c r="J344" s="336"/>
      <c r="K344" s="336"/>
      <c r="L344" s="336"/>
      <c r="M344" s="336"/>
      <c r="N344" s="336"/>
      <c r="O344" s="336"/>
      <c r="P344" s="336"/>
      <c r="Q344" s="337"/>
      <c r="R344" s="336"/>
      <c r="S344" s="336"/>
      <c r="T344" s="336"/>
      <c r="U344" s="336"/>
      <c r="V344" s="336"/>
      <c r="W344" s="62">
        <f>W345</f>
        <v>750</v>
      </c>
      <c r="X344" s="62">
        <f>X345</f>
        <v>0</v>
      </c>
    </row>
    <row r="345" spans="1:24" s="307" customFormat="1" ht="31.5">
      <c r="A345" s="163" t="s">
        <v>190</v>
      </c>
      <c r="B345" s="66"/>
      <c r="C345" s="48" t="s">
        <v>129</v>
      </c>
      <c r="D345" s="48" t="s">
        <v>171</v>
      </c>
      <c r="E345" s="49" t="s">
        <v>421</v>
      </c>
      <c r="F345" s="56" t="s">
        <v>178</v>
      </c>
      <c r="G345" s="62">
        <f>G346</f>
        <v>750</v>
      </c>
      <c r="H345" s="336"/>
      <c r="I345" s="336"/>
      <c r="J345" s="336"/>
      <c r="K345" s="336"/>
      <c r="L345" s="336"/>
      <c r="M345" s="336"/>
      <c r="N345" s="336"/>
      <c r="O345" s="336"/>
      <c r="P345" s="336"/>
      <c r="Q345" s="337"/>
      <c r="R345" s="336"/>
      <c r="S345" s="336"/>
      <c r="T345" s="336"/>
      <c r="U345" s="336"/>
      <c r="V345" s="336"/>
      <c r="W345" s="62">
        <f>W346</f>
        <v>750</v>
      </c>
      <c r="X345" s="62">
        <f>X346</f>
        <v>0</v>
      </c>
    </row>
    <row r="346" spans="1:24" s="307" customFormat="1" ht="15.75">
      <c r="A346" s="235" t="s">
        <v>191</v>
      </c>
      <c r="B346" s="66"/>
      <c r="C346" s="48" t="s">
        <v>129</v>
      </c>
      <c r="D346" s="48" t="s">
        <v>171</v>
      </c>
      <c r="E346" s="49" t="s">
        <v>421</v>
      </c>
      <c r="F346" s="56" t="s">
        <v>192</v>
      </c>
      <c r="G346" s="62">
        <f>50+700</f>
        <v>750</v>
      </c>
      <c r="H346" s="336"/>
      <c r="I346" s="336"/>
      <c r="J346" s="336"/>
      <c r="K346" s="336"/>
      <c r="L346" s="336"/>
      <c r="M346" s="336"/>
      <c r="N346" s="336"/>
      <c r="O346" s="336"/>
      <c r="P346" s="336"/>
      <c r="Q346" s="337"/>
      <c r="R346" s="336"/>
      <c r="S346" s="336"/>
      <c r="T346" s="336"/>
      <c r="U346" s="336"/>
      <c r="V346" s="336"/>
      <c r="W346" s="62">
        <f>50+700</f>
        <v>750</v>
      </c>
      <c r="X346" s="62">
        <f>G346-W346</f>
        <v>0</v>
      </c>
    </row>
    <row r="347" spans="1:24" s="307" customFormat="1" ht="31.5">
      <c r="A347" s="235" t="s">
        <v>604</v>
      </c>
      <c r="B347" s="66"/>
      <c r="C347" s="48" t="s">
        <v>129</v>
      </c>
      <c r="D347" s="48" t="s">
        <v>171</v>
      </c>
      <c r="E347" s="56" t="s">
        <v>603</v>
      </c>
      <c r="F347" s="56"/>
      <c r="G347" s="62">
        <f>G348</f>
        <v>950</v>
      </c>
      <c r="H347" s="336"/>
      <c r="I347" s="336"/>
      <c r="J347" s="336"/>
      <c r="K347" s="336"/>
      <c r="L347" s="336"/>
      <c r="M347" s="336"/>
      <c r="N347" s="336"/>
      <c r="O347" s="336"/>
      <c r="P347" s="336"/>
      <c r="Q347" s="337"/>
      <c r="R347" s="336"/>
      <c r="S347" s="336"/>
      <c r="T347" s="336"/>
      <c r="U347" s="336"/>
      <c r="V347" s="336"/>
      <c r="W347" s="62">
        <f>W348</f>
        <v>950</v>
      </c>
      <c r="X347" s="62">
        <f>X348</f>
        <v>0</v>
      </c>
    </row>
    <row r="348" spans="1:24" s="307" customFormat="1" ht="31.5">
      <c r="A348" s="163" t="s">
        <v>190</v>
      </c>
      <c r="B348" s="66"/>
      <c r="C348" s="48" t="s">
        <v>129</v>
      </c>
      <c r="D348" s="48" t="s">
        <v>171</v>
      </c>
      <c r="E348" s="56" t="s">
        <v>603</v>
      </c>
      <c r="F348" s="56" t="s">
        <v>178</v>
      </c>
      <c r="G348" s="62">
        <f>G349</f>
        <v>950</v>
      </c>
      <c r="H348" s="336"/>
      <c r="I348" s="336"/>
      <c r="J348" s="336"/>
      <c r="K348" s="336"/>
      <c r="L348" s="336"/>
      <c r="M348" s="336"/>
      <c r="N348" s="336"/>
      <c r="O348" s="336"/>
      <c r="P348" s="336"/>
      <c r="Q348" s="337"/>
      <c r="R348" s="336"/>
      <c r="S348" s="336"/>
      <c r="T348" s="336"/>
      <c r="U348" s="336"/>
      <c r="V348" s="336"/>
      <c r="W348" s="62">
        <f>W349</f>
        <v>950</v>
      </c>
      <c r="X348" s="62">
        <f>X349</f>
        <v>0</v>
      </c>
    </row>
    <row r="349" spans="1:24" s="307" customFormat="1" ht="15.75">
      <c r="A349" s="235" t="s">
        <v>191</v>
      </c>
      <c r="B349" s="66"/>
      <c r="C349" s="48" t="s">
        <v>129</v>
      </c>
      <c r="D349" s="48" t="s">
        <v>171</v>
      </c>
      <c r="E349" s="56" t="s">
        <v>603</v>
      </c>
      <c r="F349" s="56" t="s">
        <v>192</v>
      </c>
      <c r="G349" s="62">
        <v>950</v>
      </c>
      <c r="H349" s="336"/>
      <c r="I349" s="336"/>
      <c r="J349" s="336"/>
      <c r="K349" s="336"/>
      <c r="L349" s="336"/>
      <c r="M349" s="336"/>
      <c r="N349" s="336"/>
      <c r="O349" s="336"/>
      <c r="P349" s="336"/>
      <c r="Q349" s="337"/>
      <c r="R349" s="336"/>
      <c r="S349" s="336"/>
      <c r="T349" s="336"/>
      <c r="U349" s="336"/>
      <c r="V349" s="336"/>
      <c r="W349" s="62">
        <v>950</v>
      </c>
      <c r="X349" s="62">
        <f>G349-W349</f>
        <v>0</v>
      </c>
    </row>
    <row r="350" spans="1:24" ht="31.5">
      <c r="A350" s="257" t="s">
        <v>389</v>
      </c>
      <c r="B350" s="66"/>
      <c r="C350" s="48" t="s">
        <v>129</v>
      </c>
      <c r="D350" s="48" t="s">
        <v>171</v>
      </c>
      <c r="E350" s="56" t="s">
        <v>390</v>
      </c>
      <c r="F350" s="56"/>
      <c r="G350" s="62">
        <f>G351</f>
        <v>22331</v>
      </c>
      <c r="Q350" s="34"/>
      <c r="W350" s="62">
        <f>W351</f>
        <v>22331.025</v>
      </c>
      <c r="X350" s="62">
        <f>X351</f>
        <v>-0.02500000000145519</v>
      </c>
    </row>
    <row r="351" spans="1:24" ht="31.5">
      <c r="A351" s="163" t="s">
        <v>190</v>
      </c>
      <c r="B351" s="66"/>
      <c r="C351" s="48" t="s">
        <v>129</v>
      </c>
      <c r="D351" s="48" t="s">
        <v>171</v>
      </c>
      <c r="E351" s="56" t="s">
        <v>390</v>
      </c>
      <c r="F351" s="56" t="s">
        <v>178</v>
      </c>
      <c r="G351" s="62">
        <f>G352</f>
        <v>22331</v>
      </c>
      <c r="Q351" s="34"/>
      <c r="W351" s="62">
        <f>W352</f>
        <v>22331.025</v>
      </c>
      <c r="X351" s="62">
        <f>X352</f>
        <v>-0.02500000000145519</v>
      </c>
    </row>
    <row r="352" spans="1:24" ht="15.75">
      <c r="A352" s="253" t="s">
        <v>191</v>
      </c>
      <c r="B352" s="66"/>
      <c r="C352" s="48" t="s">
        <v>129</v>
      </c>
      <c r="D352" s="48" t="s">
        <v>171</v>
      </c>
      <c r="E352" s="56" t="s">
        <v>390</v>
      </c>
      <c r="F352" s="56" t="s">
        <v>192</v>
      </c>
      <c r="G352" s="62">
        <v>22331</v>
      </c>
      <c r="Q352" s="34"/>
      <c r="W352" s="62">
        <f>22204.825+126.2</f>
        <v>22331.025</v>
      </c>
      <c r="X352" s="62">
        <f>G352-W352</f>
        <v>-0.02500000000145519</v>
      </c>
    </row>
    <row r="353" spans="1:24" s="307" customFormat="1" ht="15.75">
      <c r="A353" s="263" t="s">
        <v>624</v>
      </c>
      <c r="B353" s="66"/>
      <c r="C353" s="48" t="s">
        <v>129</v>
      </c>
      <c r="D353" s="48" t="s">
        <v>171</v>
      </c>
      <c r="E353" s="56" t="s">
        <v>623</v>
      </c>
      <c r="F353" s="56"/>
      <c r="G353" s="70">
        <f>G354</f>
        <v>500</v>
      </c>
      <c r="H353" s="336"/>
      <c r="I353" s="336"/>
      <c r="J353" s="336"/>
      <c r="K353" s="336"/>
      <c r="L353" s="336"/>
      <c r="M353" s="336"/>
      <c r="N353" s="336"/>
      <c r="O353" s="336"/>
      <c r="P353" s="336"/>
      <c r="Q353" s="337"/>
      <c r="R353" s="336"/>
      <c r="S353" s="336"/>
      <c r="T353" s="336"/>
      <c r="U353" s="336"/>
      <c r="V353" s="336"/>
      <c r="W353" s="70">
        <f>W354</f>
        <v>500</v>
      </c>
      <c r="X353" s="70">
        <f>X354</f>
        <v>0</v>
      </c>
    </row>
    <row r="354" spans="1:24" s="307" customFormat="1" ht="31.5">
      <c r="A354" s="163" t="s">
        <v>190</v>
      </c>
      <c r="B354" s="66"/>
      <c r="C354" s="48" t="s">
        <v>129</v>
      </c>
      <c r="D354" s="48" t="s">
        <v>171</v>
      </c>
      <c r="E354" s="56" t="s">
        <v>623</v>
      </c>
      <c r="F354" s="56" t="s">
        <v>178</v>
      </c>
      <c r="G354" s="70">
        <f>G355</f>
        <v>500</v>
      </c>
      <c r="H354" s="336"/>
      <c r="I354" s="336"/>
      <c r="J354" s="336"/>
      <c r="K354" s="336"/>
      <c r="L354" s="336"/>
      <c r="M354" s="336"/>
      <c r="N354" s="336"/>
      <c r="O354" s="336"/>
      <c r="P354" s="336"/>
      <c r="Q354" s="337"/>
      <c r="R354" s="336"/>
      <c r="S354" s="336"/>
      <c r="T354" s="336"/>
      <c r="U354" s="336"/>
      <c r="V354" s="336"/>
      <c r="W354" s="70">
        <f>W355</f>
        <v>500</v>
      </c>
      <c r="X354" s="70">
        <f>X355</f>
        <v>0</v>
      </c>
    </row>
    <row r="355" spans="1:24" s="307" customFormat="1" ht="15.75">
      <c r="A355" s="235" t="s">
        <v>191</v>
      </c>
      <c r="B355" s="66"/>
      <c r="C355" s="48" t="s">
        <v>129</v>
      </c>
      <c r="D355" s="48" t="s">
        <v>171</v>
      </c>
      <c r="E355" s="56" t="s">
        <v>623</v>
      </c>
      <c r="F355" s="56" t="s">
        <v>192</v>
      </c>
      <c r="G355" s="70">
        <v>500</v>
      </c>
      <c r="H355" s="336"/>
      <c r="I355" s="336"/>
      <c r="J355" s="336"/>
      <c r="K355" s="336"/>
      <c r="L355" s="336"/>
      <c r="M355" s="336"/>
      <c r="N355" s="336"/>
      <c r="O355" s="336"/>
      <c r="P355" s="336"/>
      <c r="Q355" s="337"/>
      <c r="R355" s="336"/>
      <c r="S355" s="336"/>
      <c r="T355" s="336"/>
      <c r="U355" s="336"/>
      <c r="V355" s="336"/>
      <c r="W355" s="70">
        <v>500</v>
      </c>
      <c r="X355" s="62">
        <f>G355-W355</f>
        <v>0</v>
      </c>
    </row>
    <row r="356" spans="1:24" s="307" customFormat="1" ht="63">
      <c r="A356" s="263" t="s">
        <v>249</v>
      </c>
      <c r="B356" s="66"/>
      <c r="C356" s="48" t="s">
        <v>129</v>
      </c>
      <c r="D356" s="48" t="s">
        <v>171</v>
      </c>
      <c r="E356" s="49" t="s">
        <v>245</v>
      </c>
      <c r="F356" s="56"/>
      <c r="G356" s="70">
        <f>G357</f>
        <v>3891</v>
      </c>
      <c r="H356" s="336"/>
      <c r="I356" s="336"/>
      <c r="J356" s="336"/>
      <c r="K356" s="336"/>
      <c r="L356" s="336"/>
      <c r="M356" s="336"/>
      <c r="N356" s="336"/>
      <c r="O356" s="336"/>
      <c r="P356" s="336"/>
      <c r="Q356" s="337"/>
      <c r="R356" s="336"/>
      <c r="S356" s="336"/>
      <c r="T356" s="336"/>
      <c r="U356" s="336"/>
      <c r="V356" s="336"/>
      <c r="W356" s="70">
        <f>W357</f>
        <v>3890.9580000000005</v>
      </c>
      <c r="X356" s="70">
        <f>X357</f>
        <v>0.04199999999946158</v>
      </c>
    </row>
    <row r="357" spans="1:24" s="307" customFormat="1" ht="31.5">
      <c r="A357" s="163" t="s">
        <v>190</v>
      </c>
      <c r="B357" s="66"/>
      <c r="C357" s="48" t="s">
        <v>129</v>
      </c>
      <c r="D357" s="48" t="s">
        <v>171</v>
      </c>
      <c r="E357" s="49" t="s">
        <v>245</v>
      </c>
      <c r="F357" s="56" t="s">
        <v>178</v>
      </c>
      <c r="G357" s="70">
        <f>G358</f>
        <v>3891</v>
      </c>
      <c r="H357" s="336"/>
      <c r="I357" s="336"/>
      <c r="J357" s="336"/>
      <c r="K357" s="336"/>
      <c r="L357" s="336"/>
      <c r="M357" s="336"/>
      <c r="N357" s="336"/>
      <c r="O357" s="336"/>
      <c r="P357" s="336"/>
      <c r="Q357" s="337"/>
      <c r="R357" s="336"/>
      <c r="S357" s="336"/>
      <c r="T357" s="336"/>
      <c r="U357" s="336"/>
      <c r="V357" s="336"/>
      <c r="W357" s="70">
        <f>W358</f>
        <v>3890.9580000000005</v>
      </c>
      <c r="X357" s="70">
        <f>X358</f>
        <v>0.04199999999946158</v>
      </c>
    </row>
    <row r="358" spans="1:24" s="307" customFormat="1" ht="15.75">
      <c r="A358" s="253" t="s">
        <v>191</v>
      </c>
      <c r="B358" s="66"/>
      <c r="C358" s="48" t="s">
        <v>129</v>
      </c>
      <c r="D358" s="48" t="s">
        <v>171</v>
      </c>
      <c r="E358" s="49" t="s">
        <v>245</v>
      </c>
      <c r="F358" s="56" t="s">
        <v>192</v>
      </c>
      <c r="G358" s="70">
        <v>3891</v>
      </c>
      <c r="H358" s="336"/>
      <c r="I358" s="336"/>
      <c r="J358" s="336"/>
      <c r="K358" s="336"/>
      <c r="L358" s="336"/>
      <c r="M358" s="336"/>
      <c r="N358" s="336"/>
      <c r="O358" s="336"/>
      <c r="P358" s="336"/>
      <c r="Q358" s="337"/>
      <c r="R358" s="336"/>
      <c r="S358" s="336"/>
      <c r="T358" s="336"/>
      <c r="U358" s="336"/>
      <c r="V358" s="336"/>
      <c r="W358" s="70">
        <f>4548.658-657.7</f>
        <v>3890.9580000000005</v>
      </c>
      <c r="X358" s="62">
        <f>G358-W358</f>
        <v>0.04199999999946158</v>
      </c>
    </row>
    <row r="359" spans="1:24" s="307" customFormat="1" ht="15.75">
      <c r="A359" s="257" t="s">
        <v>272</v>
      </c>
      <c r="B359" s="47"/>
      <c r="C359" s="48" t="s">
        <v>129</v>
      </c>
      <c r="D359" s="48" t="s">
        <v>171</v>
      </c>
      <c r="E359" s="49" t="s">
        <v>37</v>
      </c>
      <c r="F359" s="56"/>
      <c r="G359" s="70">
        <f>G360</f>
        <v>252942.45</v>
      </c>
      <c r="H359" s="336"/>
      <c r="I359" s="336"/>
      <c r="J359" s="336"/>
      <c r="K359" s="336"/>
      <c r="L359" s="336"/>
      <c r="M359" s="336"/>
      <c r="N359" s="336"/>
      <c r="O359" s="336"/>
      <c r="P359" s="336"/>
      <c r="Q359" s="337"/>
      <c r="R359" s="336"/>
      <c r="S359" s="336"/>
      <c r="T359" s="336"/>
      <c r="U359" s="336"/>
      <c r="V359" s="336"/>
      <c r="W359" s="70">
        <f>W360</f>
        <v>252942.5</v>
      </c>
      <c r="X359" s="70">
        <f>X360</f>
        <v>-0.04999999998835847</v>
      </c>
    </row>
    <row r="360" spans="1:24" s="307" customFormat="1" ht="31.5">
      <c r="A360" s="163" t="s">
        <v>190</v>
      </c>
      <c r="B360" s="48"/>
      <c r="C360" s="48" t="s">
        <v>129</v>
      </c>
      <c r="D360" s="48" t="s">
        <v>171</v>
      </c>
      <c r="E360" s="49" t="s">
        <v>37</v>
      </c>
      <c r="F360" s="56" t="s">
        <v>178</v>
      </c>
      <c r="G360" s="70">
        <f>G361</f>
        <v>252942.45</v>
      </c>
      <c r="H360" s="336"/>
      <c r="I360" s="336"/>
      <c r="J360" s="336"/>
      <c r="K360" s="336"/>
      <c r="L360" s="336"/>
      <c r="M360" s="336"/>
      <c r="N360" s="336"/>
      <c r="O360" s="336"/>
      <c r="P360" s="336"/>
      <c r="Q360" s="337"/>
      <c r="R360" s="336"/>
      <c r="S360" s="336"/>
      <c r="T360" s="336"/>
      <c r="U360" s="336"/>
      <c r="V360" s="336"/>
      <c r="W360" s="70">
        <f>W361</f>
        <v>252942.5</v>
      </c>
      <c r="X360" s="70">
        <f>X361</f>
        <v>-0.04999999998835847</v>
      </c>
    </row>
    <row r="361" spans="1:24" ht="15.75">
      <c r="A361" s="253" t="s">
        <v>191</v>
      </c>
      <c r="B361" s="48"/>
      <c r="C361" s="48" t="s">
        <v>129</v>
      </c>
      <c r="D361" s="48" t="s">
        <v>171</v>
      </c>
      <c r="E361" s="49" t="s">
        <v>37</v>
      </c>
      <c r="F361" s="56" t="s">
        <v>192</v>
      </c>
      <c r="G361" s="62">
        <v>252942.45</v>
      </c>
      <c r="W361" s="62">
        <f>252878.6+63.9</f>
        <v>252942.5</v>
      </c>
      <c r="X361" s="62">
        <f>G361-W361</f>
        <v>-0.04999999998835847</v>
      </c>
    </row>
    <row r="362" spans="1:24" ht="78.75">
      <c r="A362" s="265" t="s">
        <v>552</v>
      </c>
      <c r="B362" s="48"/>
      <c r="C362" s="48" t="s">
        <v>129</v>
      </c>
      <c r="D362" s="48" t="s">
        <v>171</v>
      </c>
      <c r="E362" s="56" t="s">
        <v>414</v>
      </c>
      <c r="F362" s="56"/>
      <c r="G362" s="62">
        <f>G363</f>
        <v>50</v>
      </c>
      <c r="W362" s="62">
        <f>W363</f>
        <v>50</v>
      </c>
      <c r="X362" s="62">
        <f>X363</f>
        <v>0</v>
      </c>
    </row>
    <row r="363" spans="1:24" ht="31.5">
      <c r="A363" s="235" t="s">
        <v>263</v>
      </c>
      <c r="B363" s="48"/>
      <c r="C363" s="48" t="s">
        <v>129</v>
      </c>
      <c r="D363" s="48" t="s">
        <v>171</v>
      </c>
      <c r="E363" s="56" t="s">
        <v>414</v>
      </c>
      <c r="F363" s="56" t="s">
        <v>178</v>
      </c>
      <c r="G363" s="62">
        <f>G364</f>
        <v>50</v>
      </c>
      <c r="W363" s="62">
        <f>W364</f>
        <v>50</v>
      </c>
      <c r="X363" s="62">
        <f>X364</f>
        <v>0</v>
      </c>
    </row>
    <row r="364" spans="1:24" ht="15.75">
      <c r="A364" s="235" t="s">
        <v>191</v>
      </c>
      <c r="B364" s="48"/>
      <c r="C364" s="48" t="s">
        <v>129</v>
      </c>
      <c r="D364" s="48" t="s">
        <v>171</v>
      </c>
      <c r="E364" s="56" t="s">
        <v>414</v>
      </c>
      <c r="F364" s="56" t="s">
        <v>192</v>
      </c>
      <c r="G364" s="62">
        <v>50</v>
      </c>
      <c r="W364" s="62">
        <v>50</v>
      </c>
      <c r="X364" s="62">
        <f>G364-W364</f>
        <v>0</v>
      </c>
    </row>
    <row r="365" spans="1:24" ht="47.25">
      <c r="A365" s="235" t="s">
        <v>466</v>
      </c>
      <c r="B365" s="66"/>
      <c r="C365" s="48" t="s">
        <v>129</v>
      </c>
      <c r="D365" s="48" t="s">
        <v>171</v>
      </c>
      <c r="E365" s="49" t="s">
        <v>356</v>
      </c>
      <c r="F365" s="56"/>
      <c r="G365" s="62">
        <f>G366</f>
        <v>1779.9</v>
      </c>
      <c r="W365" s="62">
        <f>W366</f>
        <v>1779.952</v>
      </c>
      <c r="X365" s="62">
        <f>X366</f>
        <v>-0.05199999999990723</v>
      </c>
    </row>
    <row r="366" spans="1:24" ht="31.5">
      <c r="A366" s="163" t="s">
        <v>190</v>
      </c>
      <c r="B366" s="66"/>
      <c r="C366" s="48" t="s">
        <v>129</v>
      </c>
      <c r="D366" s="48" t="s">
        <v>171</v>
      </c>
      <c r="E366" s="49" t="s">
        <v>356</v>
      </c>
      <c r="F366" s="56" t="s">
        <v>178</v>
      </c>
      <c r="G366" s="62">
        <f>G367</f>
        <v>1779.9</v>
      </c>
      <c r="W366" s="62">
        <f>W367</f>
        <v>1779.952</v>
      </c>
      <c r="X366" s="62">
        <f>X367</f>
        <v>-0.05199999999990723</v>
      </c>
    </row>
    <row r="367" spans="1:24" ht="15.75">
      <c r="A367" s="253" t="s">
        <v>191</v>
      </c>
      <c r="B367" s="66"/>
      <c r="C367" s="48" t="s">
        <v>129</v>
      </c>
      <c r="D367" s="48" t="s">
        <v>171</v>
      </c>
      <c r="E367" s="49" t="s">
        <v>356</v>
      </c>
      <c r="F367" s="56" t="s">
        <v>192</v>
      </c>
      <c r="G367" s="62">
        <v>1779.9</v>
      </c>
      <c r="W367" s="62">
        <f>889.952+890</f>
        <v>1779.952</v>
      </c>
      <c r="X367" s="62">
        <f>G367-W367</f>
        <v>-0.05199999999990723</v>
      </c>
    </row>
    <row r="368" spans="1:24" ht="31.5">
      <c r="A368" s="262" t="s">
        <v>313</v>
      </c>
      <c r="B368" s="86"/>
      <c r="C368" s="80" t="s">
        <v>129</v>
      </c>
      <c r="D368" s="80" t="s">
        <v>171</v>
      </c>
      <c r="E368" s="81" t="s">
        <v>314</v>
      </c>
      <c r="F368" s="76"/>
      <c r="G368" s="62">
        <f>G369</f>
        <v>55</v>
      </c>
      <c r="W368" s="62">
        <f>W369</f>
        <v>55</v>
      </c>
      <c r="X368" s="62">
        <f>X369</f>
        <v>0</v>
      </c>
    </row>
    <row r="369" spans="1:24" s="307" customFormat="1" ht="31.5">
      <c r="A369" s="260" t="s">
        <v>190</v>
      </c>
      <c r="B369" s="86"/>
      <c r="C369" s="80" t="s">
        <v>129</v>
      </c>
      <c r="D369" s="80" t="s">
        <v>171</v>
      </c>
      <c r="E369" s="81" t="s">
        <v>314</v>
      </c>
      <c r="F369" s="76" t="s">
        <v>178</v>
      </c>
      <c r="G369" s="62">
        <f>G370</f>
        <v>55</v>
      </c>
      <c r="H369" s="336"/>
      <c r="I369" s="336"/>
      <c r="J369" s="336"/>
      <c r="K369" s="336"/>
      <c r="L369" s="336"/>
      <c r="M369" s="336"/>
      <c r="N369" s="336"/>
      <c r="O369" s="336"/>
      <c r="P369" s="336"/>
      <c r="Q369" s="337"/>
      <c r="R369" s="336"/>
      <c r="S369" s="336"/>
      <c r="T369" s="336"/>
      <c r="U369" s="336"/>
      <c r="V369" s="336"/>
      <c r="W369" s="62">
        <f>W370</f>
        <v>55</v>
      </c>
      <c r="X369" s="62">
        <f>X370</f>
        <v>0</v>
      </c>
    </row>
    <row r="370" spans="1:24" s="307" customFormat="1" ht="15.75">
      <c r="A370" s="261" t="s">
        <v>191</v>
      </c>
      <c r="B370" s="86"/>
      <c r="C370" s="80" t="s">
        <v>129</v>
      </c>
      <c r="D370" s="80" t="s">
        <v>171</v>
      </c>
      <c r="E370" s="81" t="s">
        <v>314</v>
      </c>
      <c r="F370" s="76" t="s">
        <v>192</v>
      </c>
      <c r="G370" s="62">
        <v>55</v>
      </c>
      <c r="H370" s="336"/>
      <c r="I370" s="336"/>
      <c r="J370" s="336"/>
      <c r="K370" s="336"/>
      <c r="L370" s="336"/>
      <c r="M370" s="336"/>
      <c r="N370" s="336"/>
      <c r="O370" s="336"/>
      <c r="P370" s="336"/>
      <c r="Q370" s="337"/>
      <c r="R370" s="336"/>
      <c r="S370" s="336"/>
      <c r="T370" s="336"/>
      <c r="U370" s="336"/>
      <c r="V370" s="336"/>
      <c r="W370" s="62">
        <v>55</v>
      </c>
      <c r="X370" s="62">
        <f>G370-W370</f>
        <v>0</v>
      </c>
    </row>
    <row r="371" spans="1:24" s="307" customFormat="1" ht="31.5">
      <c r="A371" s="262" t="s">
        <v>358</v>
      </c>
      <c r="B371" s="86"/>
      <c r="C371" s="80" t="s">
        <v>129</v>
      </c>
      <c r="D371" s="80" t="s">
        <v>171</v>
      </c>
      <c r="E371" s="81" t="s">
        <v>357</v>
      </c>
      <c r="F371" s="76"/>
      <c r="G371" s="62">
        <f>G372</f>
        <v>27.6</v>
      </c>
      <c r="H371" s="336"/>
      <c r="I371" s="336"/>
      <c r="J371" s="336"/>
      <c r="K371" s="336"/>
      <c r="L371" s="336"/>
      <c r="M371" s="336"/>
      <c r="N371" s="336"/>
      <c r="O371" s="336"/>
      <c r="P371" s="336"/>
      <c r="Q371" s="337"/>
      <c r="R371" s="336"/>
      <c r="S371" s="336"/>
      <c r="T371" s="336"/>
      <c r="U371" s="336"/>
      <c r="V371" s="336"/>
      <c r="W371" s="62">
        <f>W372</f>
        <v>27.6</v>
      </c>
      <c r="X371" s="62">
        <f>X372</f>
        <v>0</v>
      </c>
    </row>
    <row r="372" spans="1:24" s="307" customFormat="1" ht="31.5">
      <c r="A372" s="260" t="s">
        <v>190</v>
      </c>
      <c r="B372" s="86"/>
      <c r="C372" s="80" t="s">
        <v>129</v>
      </c>
      <c r="D372" s="80" t="s">
        <v>171</v>
      </c>
      <c r="E372" s="81" t="s">
        <v>357</v>
      </c>
      <c r="F372" s="76" t="s">
        <v>178</v>
      </c>
      <c r="G372" s="62">
        <f>G373</f>
        <v>27.6</v>
      </c>
      <c r="H372" s="336"/>
      <c r="I372" s="336"/>
      <c r="J372" s="336"/>
      <c r="K372" s="336"/>
      <c r="L372" s="336"/>
      <c r="M372" s="336"/>
      <c r="N372" s="336"/>
      <c r="O372" s="336"/>
      <c r="P372" s="336"/>
      <c r="Q372" s="337"/>
      <c r="R372" s="336"/>
      <c r="S372" s="336"/>
      <c r="T372" s="336"/>
      <c r="U372" s="336"/>
      <c r="V372" s="336"/>
      <c r="W372" s="62">
        <f>W373</f>
        <v>27.6</v>
      </c>
      <c r="X372" s="62">
        <f>X373</f>
        <v>0</v>
      </c>
    </row>
    <row r="373" spans="1:24" s="307" customFormat="1" ht="15.75">
      <c r="A373" s="261" t="s">
        <v>191</v>
      </c>
      <c r="B373" s="86"/>
      <c r="C373" s="80" t="s">
        <v>129</v>
      </c>
      <c r="D373" s="80" t="s">
        <v>171</v>
      </c>
      <c r="E373" s="81" t="s">
        <v>357</v>
      </c>
      <c r="F373" s="76" t="s">
        <v>192</v>
      </c>
      <c r="G373" s="62">
        <v>27.6</v>
      </c>
      <c r="H373" s="336"/>
      <c r="I373" s="336"/>
      <c r="J373" s="336"/>
      <c r="K373" s="336"/>
      <c r="L373" s="336"/>
      <c r="M373" s="336"/>
      <c r="N373" s="336"/>
      <c r="O373" s="336"/>
      <c r="P373" s="336"/>
      <c r="Q373" s="337"/>
      <c r="R373" s="336"/>
      <c r="S373" s="336"/>
      <c r="T373" s="336"/>
      <c r="U373" s="336"/>
      <c r="V373" s="336"/>
      <c r="W373" s="62">
        <v>27.6</v>
      </c>
      <c r="X373" s="62">
        <f>G373-W373</f>
        <v>0</v>
      </c>
    </row>
    <row r="374" spans="1:24" ht="51.75" customHeight="1">
      <c r="A374" s="236" t="s">
        <v>470</v>
      </c>
      <c r="B374" s="82"/>
      <c r="C374" s="80" t="s">
        <v>129</v>
      </c>
      <c r="D374" s="80" t="s">
        <v>171</v>
      </c>
      <c r="E374" s="81" t="s">
        <v>422</v>
      </c>
      <c r="F374" s="76"/>
      <c r="G374" s="88">
        <f aca="true" t="shared" si="30" ref="G374:I375">G375</f>
        <v>246.666</v>
      </c>
      <c r="H374" s="340">
        <f t="shared" si="30"/>
        <v>0</v>
      </c>
      <c r="I374" s="340">
        <f t="shared" si="30"/>
        <v>150</v>
      </c>
      <c r="J374" s="341"/>
      <c r="W374" s="88">
        <f>W375</f>
        <v>246.6667</v>
      </c>
      <c r="X374" s="88">
        <f>X375</f>
        <v>-0.0006999999999948159</v>
      </c>
    </row>
    <row r="375" spans="1:24" ht="15" customHeight="1">
      <c r="A375" s="260" t="s">
        <v>190</v>
      </c>
      <c r="B375" s="82"/>
      <c r="C375" s="80" t="s">
        <v>129</v>
      </c>
      <c r="D375" s="80" t="s">
        <v>171</v>
      </c>
      <c r="E375" s="81" t="s">
        <v>422</v>
      </c>
      <c r="F375" s="76" t="s">
        <v>178</v>
      </c>
      <c r="G375" s="88">
        <f t="shared" si="30"/>
        <v>246.666</v>
      </c>
      <c r="H375" s="340">
        <f t="shared" si="30"/>
        <v>0</v>
      </c>
      <c r="I375" s="340">
        <f t="shared" si="30"/>
        <v>150</v>
      </c>
      <c r="J375" s="341"/>
      <c r="W375" s="88">
        <f>W376</f>
        <v>246.6667</v>
      </c>
      <c r="X375" s="88">
        <f>X376</f>
        <v>-0.0006999999999948159</v>
      </c>
    </row>
    <row r="376" spans="1:24" ht="18.75" customHeight="1">
      <c r="A376" s="261" t="s">
        <v>191</v>
      </c>
      <c r="B376" s="82"/>
      <c r="C376" s="80" t="s">
        <v>129</v>
      </c>
      <c r="D376" s="80" t="s">
        <v>171</v>
      </c>
      <c r="E376" s="81" t="s">
        <v>422</v>
      </c>
      <c r="F376" s="76" t="s">
        <v>192</v>
      </c>
      <c r="G376" s="62">
        <v>246.666</v>
      </c>
      <c r="H376" s="340">
        <v>0</v>
      </c>
      <c r="I376" s="88">
        <f>G441-H376</f>
        <v>150</v>
      </c>
      <c r="J376" s="342"/>
      <c r="W376" s="62">
        <f>9.7667+236.9</f>
        <v>246.6667</v>
      </c>
      <c r="X376" s="62">
        <f>G376-W376</f>
        <v>-0.0006999999999948159</v>
      </c>
    </row>
    <row r="377" spans="1:24" ht="30" customHeight="1">
      <c r="A377" s="252" t="s">
        <v>336</v>
      </c>
      <c r="B377" s="57"/>
      <c r="C377" s="45" t="s">
        <v>129</v>
      </c>
      <c r="D377" s="45" t="s">
        <v>171</v>
      </c>
      <c r="E377" s="52" t="s">
        <v>38</v>
      </c>
      <c r="F377" s="57"/>
      <c r="G377" s="58">
        <f>G378</f>
        <v>250</v>
      </c>
      <c r="H377" s="343"/>
      <c r="I377" s="341"/>
      <c r="J377" s="342"/>
      <c r="W377" s="58">
        <f aca="true" t="shared" si="31" ref="W377:X380">W378</f>
        <v>250</v>
      </c>
      <c r="X377" s="58">
        <f t="shared" si="31"/>
        <v>0</v>
      </c>
    </row>
    <row r="378" spans="1:24" ht="18.75" customHeight="1">
      <c r="A378" s="266" t="s">
        <v>549</v>
      </c>
      <c r="B378" s="57"/>
      <c r="C378" s="45" t="s">
        <v>129</v>
      </c>
      <c r="D378" s="45" t="s">
        <v>171</v>
      </c>
      <c r="E378" s="52" t="s">
        <v>225</v>
      </c>
      <c r="F378" s="57"/>
      <c r="G378" s="58">
        <f>G379</f>
        <v>250</v>
      </c>
      <c r="H378" s="343"/>
      <c r="I378" s="341"/>
      <c r="J378" s="342"/>
      <c r="W378" s="58">
        <f t="shared" si="31"/>
        <v>250</v>
      </c>
      <c r="X378" s="58">
        <f t="shared" si="31"/>
        <v>0</v>
      </c>
    </row>
    <row r="379" spans="1:24" s="307" customFormat="1" ht="15.75">
      <c r="A379" s="267" t="s">
        <v>558</v>
      </c>
      <c r="B379" s="86"/>
      <c r="C379" s="80" t="s">
        <v>129</v>
      </c>
      <c r="D379" s="80" t="s">
        <v>171</v>
      </c>
      <c r="E379" s="81" t="s">
        <v>39</v>
      </c>
      <c r="F379" s="76"/>
      <c r="G379" s="62">
        <f>G380</f>
        <v>250</v>
      </c>
      <c r="H379" s="336"/>
      <c r="I379" s="336"/>
      <c r="J379" s="336"/>
      <c r="K379" s="336"/>
      <c r="L379" s="336"/>
      <c r="M379" s="336"/>
      <c r="N379" s="336"/>
      <c r="O379" s="336"/>
      <c r="P379" s="336"/>
      <c r="Q379" s="337"/>
      <c r="R379" s="336"/>
      <c r="S379" s="336"/>
      <c r="T379" s="336"/>
      <c r="U379" s="336"/>
      <c r="V379" s="336"/>
      <c r="W379" s="62">
        <f t="shared" si="31"/>
        <v>250</v>
      </c>
      <c r="X379" s="62">
        <f t="shared" si="31"/>
        <v>0</v>
      </c>
    </row>
    <row r="380" spans="1:24" s="307" customFormat="1" ht="31.5">
      <c r="A380" s="163" t="s">
        <v>190</v>
      </c>
      <c r="B380" s="47"/>
      <c r="C380" s="48" t="s">
        <v>129</v>
      </c>
      <c r="D380" s="48" t="s">
        <v>171</v>
      </c>
      <c r="E380" s="81" t="s">
        <v>39</v>
      </c>
      <c r="F380" s="56" t="s">
        <v>178</v>
      </c>
      <c r="G380" s="62">
        <f>G381</f>
        <v>250</v>
      </c>
      <c r="H380" s="336"/>
      <c r="I380" s="336"/>
      <c r="J380" s="336"/>
      <c r="K380" s="336"/>
      <c r="L380" s="336"/>
      <c r="M380" s="336"/>
      <c r="N380" s="336"/>
      <c r="O380" s="336"/>
      <c r="P380" s="336"/>
      <c r="Q380" s="337"/>
      <c r="R380" s="336"/>
      <c r="S380" s="336"/>
      <c r="T380" s="336"/>
      <c r="U380" s="336"/>
      <c r="V380" s="336"/>
      <c r="W380" s="62">
        <f t="shared" si="31"/>
        <v>250</v>
      </c>
      <c r="X380" s="62">
        <f t="shared" si="31"/>
        <v>0</v>
      </c>
    </row>
    <row r="381" spans="1:24" s="307" customFormat="1" ht="15.75">
      <c r="A381" s="253" t="s">
        <v>191</v>
      </c>
      <c r="B381" s="47"/>
      <c r="C381" s="48" t="s">
        <v>129</v>
      </c>
      <c r="D381" s="48" t="s">
        <v>171</v>
      </c>
      <c r="E381" s="81" t="s">
        <v>39</v>
      </c>
      <c r="F381" s="56" t="s">
        <v>192</v>
      </c>
      <c r="G381" s="62">
        <v>250</v>
      </c>
      <c r="H381" s="336"/>
      <c r="I381" s="336"/>
      <c r="J381" s="336"/>
      <c r="K381" s="336"/>
      <c r="L381" s="336"/>
      <c r="M381" s="336"/>
      <c r="N381" s="336"/>
      <c r="O381" s="336"/>
      <c r="P381" s="336"/>
      <c r="Q381" s="337"/>
      <c r="R381" s="336"/>
      <c r="S381" s="336"/>
      <c r="T381" s="336"/>
      <c r="U381" s="336"/>
      <c r="V381" s="336"/>
      <c r="W381" s="62">
        <v>250</v>
      </c>
      <c r="X381" s="62">
        <f>G381-W381</f>
        <v>0</v>
      </c>
    </row>
    <row r="382" spans="1:24" s="307" customFormat="1" ht="30.75" customHeight="1">
      <c r="A382" s="234" t="s">
        <v>539</v>
      </c>
      <c r="B382" s="51"/>
      <c r="C382" s="45" t="s">
        <v>129</v>
      </c>
      <c r="D382" s="45" t="s">
        <v>171</v>
      </c>
      <c r="E382" s="52" t="s">
        <v>80</v>
      </c>
      <c r="F382" s="57"/>
      <c r="G382" s="58">
        <f>G383</f>
        <v>250</v>
      </c>
      <c r="H382" s="336"/>
      <c r="I382" s="336"/>
      <c r="J382" s="336"/>
      <c r="K382" s="336"/>
      <c r="L382" s="336"/>
      <c r="M382" s="336"/>
      <c r="N382" s="336"/>
      <c r="O382" s="336"/>
      <c r="P382" s="336"/>
      <c r="Q382" s="337"/>
      <c r="R382" s="336"/>
      <c r="S382" s="336"/>
      <c r="T382" s="336"/>
      <c r="U382" s="336"/>
      <c r="V382" s="336"/>
      <c r="W382" s="58">
        <f aca="true" t="shared" si="32" ref="W382:X384">W383</f>
        <v>250</v>
      </c>
      <c r="X382" s="58">
        <f t="shared" si="32"/>
        <v>0</v>
      </c>
    </row>
    <row r="383" spans="1:24" s="307" customFormat="1" ht="15.75" customHeight="1">
      <c r="A383" s="268" t="s">
        <v>540</v>
      </c>
      <c r="B383" s="66"/>
      <c r="C383" s="48" t="s">
        <v>129</v>
      </c>
      <c r="D383" s="48" t="s">
        <v>171</v>
      </c>
      <c r="E383" s="49" t="s">
        <v>81</v>
      </c>
      <c r="F383" s="56"/>
      <c r="G383" s="62">
        <f>G384</f>
        <v>250</v>
      </c>
      <c r="H383" s="336"/>
      <c r="I383" s="336"/>
      <c r="J383" s="336"/>
      <c r="K383" s="336"/>
      <c r="L383" s="336"/>
      <c r="M383" s="336"/>
      <c r="N383" s="336"/>
      <c r="O383" s="336"/>
      <c r="P383" s="336"/>
      <c r="Q383" s="337"/>
      <c r="R383" s="336"/>
      <c r="S383" s="336"/>
      <c r="T383" s="336"/>
      <c r="U383" s="336"/>
      <c r="V383" s="336"/>
      <c r="W383" s="62">
        <f t="shared" si="32"/>
        <v>250</v>
      </c>
      <c r="X383" s="62">
        <f t="shared" si="32"/>
        <v>0</v>
      </c>
    </row>
    <row r="384" spans="1:24" s="307" customFormat="1" ht="31.5">
      <c r="A384" s="163" t="s">
        <v>190</v>
      </c>
      <c r="B384" s="66"/>
      <c r="C384" s="48" t="s">
        <v>129</v>
      </c>
      <c r="D384" s="48" t="s">
        <v>171</v>
      </c>
      <c r="E384" s="49" t="s">
        <v>81</v>
      </c>
      <c r="F384" s="56" t="s">
        <v>178</v>
      </c>
      <c r="G384" s="62">
        <f>G385</f>
        <v>250</v>
      </c>
      <c r="H384" s="336"/>
      <c r="I384" s="336"/>
      <c r="J384" s="336"/>
      <c r="K384" s="336"/>
      <c r="L384" s="336"/>
      <c r="M384" s="336"/>
      <c r="N384" s="336"/>
      <c r="O384" s="336"/>
      <c r="P384" s="336"/>
      <c r="Q384" s="337"/>
      <c r="R384" s="336"/>
      <c r="S384" s="336"/>
      <c r="T384" s="336"/>
      <c r="U384" s="336"/>
      <c r="V384" s="336"/>
      <c r="W384" s="62">
        <f t="shared" si="32"/>
        <v>250</v>
      </c>
      <c r="X384" s="62">
        <f t="shared" si="32"/>
        <v>0</v>
      </c>
    </row>
    <row r="385" spans="1:24" s="307" customFormat="1" ht="15.75">
      <c r="A385" s="253" t="s">
        <v>191</v>
      </c>
      <c r="B385" s="66"/>
      <c r="C385" s="48" t="s">
        <v>129</v>
      </c>
      <c r="D385" s="48" t="s">
        <v>171</v>
      </c>
      <c r="E385" s="49" t="s">
        <v>81</v>
      </c>
      <c r="F385" s="56" t="s">
        <v>192</v>
      </c>
      <c r="G385" s="62">
        <v>250</v>
      </c>
      <c r="H385" s="336"/>
      <c r="I385" s="336"/>
      <c r="J385" s="336"/>
      <c r="K385" s="336"/>
      <c r="L385" s="336"/>
      <c r="M385" s="336"/>
      <c r="N385" s="336"/>
      <c r="O385" s="336"/>
      <c r="P385" s="336"/>
      <c r="Q385" s="337"/>
      <c r="R385" s="336"/>
      <c r="S385" s="336"/>
      <c r="T385" s="336"/>
      <c r="U385" s="336"/>
      <c r="V385" s="336"/>
      <c r="W385" s="62">
        <v>250</v>
      </c>
      <c r="X385" s="62">
        <f>G385-W385</f>
        <v>0</v>
      </c>
    </row>
    <row r="386" spans="1:24" ht="15.75">
      <c r="A386" s="269" t="s">
        <v>240</v>
      </c>
      <c r="B386" s="51"/>
      <c r="C386" s="45" t="s">
        <v>129</v>
      </c>
      <c r="D386" s="45" t="s">
        <v>158</v>
      </c>
      <c r="E386" s="52"/>
      <c r="F386" s="56"/>
      <c r="G386" s="58">
        <f>G387+G432+G436</f>
        <v>65156.05</v>
      </c>
      <c r="R386" s="333" t="e">
        <f>G386+#REF!+G432+G436+G565</f>
        <v>#REF!</v>
      </c>
      <c r="W386" s="58">
        <f>W387+W432+W436</f>
        <v>64666.09999999999</v>
      </c>
      <c r="X386" s="58">
        <f>X387+X432+X436</f>
        <v>489.9499999999977</v>
      </c>
    </row>
    <row r="387" spans="1:24" ht="15.75">
      <c r="A387" s="258" t="s">
        <v>546</v>
      </c>
      <c r="B387" s="93"/>
      <c r="C387" s="93" t="s">
        <v>129</v>
      </c>
      <c r="D387" s="93" t="s">
        <v>158</v>
      </c>
      <c r="E387" s="98" t="s">
        <v>11</v>
      </c>
      <c r="F387" s="56"/>
      <c r="G387" s="58">
        <f>G388</f>
        <v>35908.36</v>
      </c>
      <c r="W387" s="58">
        <f>W388</f>
        <v>35418.399999999994</v>
      </c>
      <c r="X387" s="58">
        <f>X388</f>
        <v>489.95999999999975</v>
      </c>
    </row>
    <row r="388" spans="1:24" ht="31.5">
      <c r="A388" s="234" t="s">
        <v>547</v>
      </c>
      <c r="B388" s="77"/>
      <c r="C388" s="45" t="s">
        <v>129</v>
      </c>
      <c r="D388" s="45" t="s">
        <v>158</v>
      </c>
      <c r="E388" s="52" t="s">
        <v>33</v>
      </c>
      <c r="F388" s="57"/>
      <c r="G388" s="58">
        <f>G389+G399+G402+G405+G408+G411+G414+G417+G420+G423+G392+G426+G429</f>
        <v>35908.36</v>
      </c>
      <c r="H388" s="58">
        <f aca="true" t="shared" si="33" ref="H388:X388">H389+H399+H402+H405+H408+H411+H414+H417+H420+H423+H392+H426+H429</f>
        <v>0</v>
      </c>
      <c r="I388" s="58" t="e">
        <f t="shared" si="33"/>
        <v>#REF!</v>
      </c>
      <c r="J388" s="58">
        <f t="shared" si="33"/>
        <v>0</v>
      </c>
      <c r="K388" s="58">
        <f t="shared" si="33"/>
        <v>0</v>
      </c>
      <c r="L388" s="58">
        <f t="shared" si="33"/>
        <v>0</v>
      </c>
      <c r="M388" s="58">
        <f t="shared" si="33"/>
        <v>0</v>
      </c>
      <c r="N388" s="58">
        <f t="shared" si="33"/>
        <v>0</v>
      </c>
      <c r="O388" s="58">
        <f t="shared" si="33"/>
        <v>0</v>
      </c>
      <c r="P388" s="58">
        <f t="shared" si="33"/>
        <v>0</v>
      </c>
      <c r="Q388" s="58">
        <f t="shared" si="33"/>
        <v>0</v>
      </c>
      <c r="R388" s="58">
        <f t="shared" si="33"/>
        <v>0</v>
      </c>
      <c r="S388" s="58">
        <f t="shared" si="33"/>
        <v>0</v>
      </c>
      <c r="T388" s="58">
        <f t="shared" si="33"/>
        <v>0</v>
      </c>
      <c r="U388" s="58">
        <f t="shared" si="33"/>
        <v>0</v>
      </c>
      <c r="V388" s="58">
        <f t="shared" si="33"/>
        <v>0</v>
      </c>
      <c r="W388" s="58">
        <f t="shared" si="33"/>
        <v>35418.399999999994</v>
      </c>
      <c r="X388" s="58">
        <f t="shared" si="33"/>
        <v>489.95999999999975</v>
      </c>
    </row>
    <row r="389" spans="1:24" ht="15.75">
      <c r="A389" s="268" t="s">
        <v>106</v>
      </c>
      <c r="B389" s="47"/>
      <c r="C389" s="48" t="s">
        <v>129</v>
      </c>
      <c r="D389" s="48" t="s">
        <v>158</v>
      </c>
      <c r="E389" s="49" t="s">
        <v>34</v>
      </c>
      <c r="F389" s="56"/>
      <c r="G389" s="62">
        <f>G390</f>
        <v>17938.1</v>
      </c>
      <c r="W389" s="62">
        <f>W390</f>
        <v>17938.1</v>
      </c>
      <c r="X389" s="62">
        <f>X390</f>
        <v>0</v>
      </c>
    </row>
    <row r="390" spans="1:24" ht="31.5">
      <c r="A390" s="163" t="s">
        <v>190</v>
      </c>
      <c r="B390" s="47"/>
      <c r="C390" s="48" t="s">
        <v>129</v>
      </c>
      <c r="D390" s="48" t="s">
        <v>158</v>
      </c>
      <c r="E390" s="49" t="s">
        <v>34</v>
      </c>
      <c r="F390" s="56" t="s">
        <v>178</v>
      </c>
      <c r="G390" s="62">
        <f>SUM(G391:G391)</f>
        <v>17938.1</v>
      </c>
      <c r="W390" s="62">
        <f>SUM(W391:W391)</f>
        <v>17938.1</v>
      </c>
      <c r="X390" s="62">
        <f>SUM(X391:X391)</f>
        <v>0</v>
      </c>
    </row>
    <row r="391" spans="1:24" ht="15.75">
      <c r="A391" s="253" t="s">
        <v>195</v>
      </c>
      <c r="B391" s="51"/>
      <c r="C391" s="48" t="s">
        <v>129</v>
      </c>
      <c r="D391" s="48" t="s">
        <v>158</v>
      </c>
      <c r="E391" s="49" t="s">
        <v>34</v>
      </c>
      <c r="F391" s="56" t="s">
        <v>196</v>
      </c>
      <c r="G391" s="62">
        <v>17938.1</v>
      </c>
      <c r="W391" s="62">
        <v>17938.1</v>
      </c>
      <c r="X391" s="62">
        <f>G391-W391</f>
        <v>0</v>
      </c>
    </row>
    <row r="392" spans="1:24" s="307" customFormat="1" ht="15.75">
      <c r="A392" s="244" t="s">
        <v>381</v>
      </c>
      <c r="B392" s="66"/>
      <c r="C392" s="48" t="s">
        <v>129</v>
      </c>
      <c r="D392" s="48" t="s">
        <v>158</v>
      </c>
      <c r="E392" s="49" t="s">
        <v>379</v>
      </c>
      <c r="F392" s="56"/>
      <c r="G392" s="70">
        <f>G393+G397</f>
        <v>13277.390000000001</v>
      </c>
      <c r="H392" s="336"/>
      <c r="I392" s="336"/>
      <c r="J392" s="336"/>
      <c r="K392" s="336"/>
      <c r="L392" s="336"/>
      <c r="M392" s="336"/>
      <c r="N392" s="336"/>
      <c r="O392" s="336"/>
      <c r="P392" s="336"/>
      <c r="Q392" s="337"/>
      <c r="R392" s="336"/>
      <c r="S392" s="336"/>
      <c r="T392" s="336"/>
      <c r="U392" s="336"/>
      <c r="V392" s="336"/>
      <c r="W392" s="70">
        <f>W393+W397</f>
        <v>13277.400000000001</v>
      </c>
      <c r="X392" s="70">
        <f>X393+X397</f>
        <v>-0.010000000000218279</v>
      </c>
    </row>
    <row r="393" spans="1:24" s="307" customFormat="1" ht="31.5">
      <c r="A393" s="163" t="s">
        <v>190</v>
      </c>
      <c r="B393" s="66"/>
      <c r="C393" s="48" t="s">
        <v>129</v>
      </c>
      <c r="D393" s="48" t="s">
        <v>158</v>
      </c>
      <c r="E393" s="49" t="s">
        <v>379</v>
      </c>
      <c r="F393" s="56" t="s">
        <v>178</v>
      </c>
      <c r="G393" s="70">
        <f>G394+G395+G396</f>
        <v>13133.69</v>
      </c>
      <c r="H393" s="336"/>
      <c r="I393" s="336"/>
      <c r="J393" s="336"/>
      <c r="K393" s="336"/>
      <c r="L393" s="336"/>
      <c r="M393" s="336"/>
      <c r="N393" s="336"/>
      <c r="O393" s="336"/>
      <c r="P393" s="336"/>
      <c r="Q393" s="337"/>
      <c r="R393" s="336"/>
      <c r="S393" s="336"/>
      <c r="T393" s="336"/>
      <c r="U393" s="336"/>
      <c r="V393" s="336"/>
      <c r="W393" s="70">
        <f>W394+W395+W396</f>
        <v>13133.7</v>
      </c>
      <c r="X393" s="70">
        <f>X394+X395+X396</f>
        <v>-0.010000000000218279</v>
      </c>
    </row>
    <row r="394" spans="1:24" s="307" customFormat="1" ht="15.75">
      <c r="A394" s="235" t="s">
        <v>191</v>
      </c>
      <c r="B394" s="66"/>
      <c r="C394" s="48" t="s">
        <v>129</v>
      </c>
      <c r="D394" s="48" t="s">
        <v>158</v>
      </c>
      <c r="E394" s="49" t="s">
        <v>379</v>
      </c>
      <c r="F394" s="56" t="s">
        <v>192</v>
      </c>
      <c r="G394" s="62">
        <v>143.7</v>
      </c>
      <c r="H394" s="336"/>
      <c r="I394" s="336"/>
      <c r="J394" s="336"/>
      <c r="K394" s="336"/>
      <c r="L394" s="336"/>
      <c r="M394" s="336"/>
      <c r="N394" s="336"/>
      <c r="O394" s="336"/>
      <c r="P394" s="336"/>
      <c r="Q394" s="337"/>
      <c r="R394" s="336"/>
      <c r="S394" s="336"/>
      <c r="T394" s="336"/>
      <c r="U394" s="336"/>
      <c r="V394" s="336"/>
      <c r="W394" s="62">
        <v>143.7</v>
      </c>
      <c r="X394" s="62">
        <f>G394-W394</f>
        <v>0</v>
      </c>
    </row>
    <row r="395" spans="1:24" s="307" customFormat="1" ht="15.75">
      <c r="A395" s="253" t="s">
        <v>197</v>
      </c>
      <c r="B395" s="66"/>
      <c r="C395" s="48" t="s">
        <v>129</v>
      </c>
      <c r="D395" s="48" t="s">
        <v>158</v>
      </c>
      <c r="E395" s="49" t="s">
        <v>379</v>
      </c>
      <c r="F395" s="56" t="s">
        <v>196</v>
      </c>
      <c r="G395" s="62">
        <v>12846.39</v>
      </c>
      <c r="H395" s="336"/>
      <c r="I395" s="336"/>
      <c r="J395" s="336"/>
      <c r="K395" s="336"/>
      <c r="L395" s="336"/>
      <c r="M395" s="336"/>
      <c r="N395" s="336"/>
      <c r="O395" s="336"/>
      <c r="P395" s="336"/>
      <c r="Q395" s="337"/>
      <c r="R395" s="336"/>
      <c r="S395" s="336"/>
      <c r="T395" s="336"/>
      <c r="U395" s="336"/>
      <c r="V395" s="336"/>
      <c r="W395" s="62">
        <v>12846.4</v>
      </c>
      <c r="X395" s="62">
        <f>G395-W395</f>
        <v>-0.010000000000218279</v>
      </c>
    </row>
    <row r="396" spans="1:24" s="307" customFormat="1" ht="31.5">
      <c r="A396" s="235" t="s">
        <v>605</v>
      </c>
      <c r="B396" s="66"/>
      <c r="C396" s="48" t="s">
        <v>129</v>
      </c>
      <c r="D396" s="48" t="s">
        <v>158</v>
      </c>
      <c r="E396" s="49" t="s">
        <v>379</v>
      </c>
      <c r="F396" s="56" t="s">
        <v>203</v>
      </c>
      <c r="G396" s="62">
        <v>143.6</v>
      </c>
      <c r="H396" s="336"/>
      <c r="I396" s="336"/>
      <c r="J396" s="336"/>
      <c r="K396" s="336"/>
      <c r="L396" s="336"/>
      <c r="M396" s="336"/>
      <c r="N396" s="336"/>
      <c r="O396" s="336"/>
      <c r="P396" s="336"/>
      <c r="Q396" s="337"/>
      <c r="R396" s="336"/>
      <c r="S396" s="336"/>
      <c r="T396" s="336"/>
      <c r="U396" s="336"/>
      <c r="V396" s="336"/>
      <c r="W396" s="62">
        <v>143.6</v>
      </c>
      <c r="X396" s="62">
        <f>G396-W396</f>
        <v>0</v>
      </c>
    </row>
    <row r="397" spans="1:24" s="307" customFormat="1" ht="15.75">
      <c r="A397" s="235" t="s">
        <v>90</v>
      </c>
      <c r="B397" s="66"/>
      <c r="C397" s="48" t="s">
        <v>129</v>
      </c>
      <c r="D397" s="48" t="s">
        <v>158</v>
      </c>
      <c r="E397" s="49" t="s">
        <v>379</v>
      </c>
      <c r="F397" s="56" t="s">
        <v>87</v>
      </c>
      <c r="G397" s="62">
        <f>G398</f>
        <v>143.7</v>
      </c>
      <c r="H397" s="336"/>
      <c r="I397" s="336"/>
      <c r="J397" s="336"/>
      <c r="K397" s="336"/>
      <c r="L397" s="336"/>
      <c r="M397" s="336"/>
      <c r="N397" s="336"/>
      <c r="O397" s="336"/>
      <c r="P397" s="336"/>
      <c r="Q397" s="337"/>
      <c r="R397" s="336"/>
      <c r="S397" s="336"/>
      <c r="T397" s="336"/>
      <c r="U397" s="336"/>
      <c r="V397" s="336"/>
      <c r="W397" s="62">
        <f>W398</f>
        <v>143.7</v>
      </c>
      <c r="X397" s="62">
        <f>X398</f>
        <v>0</v>
      </c>
    </row>
    <row r="398" spans="1:24" s="307" customFormat="1" ht="31.5">
      <c r="A398" s="235" t="s">
        <v>228</v>
      </c>
      <c r="B398" s="66"/>
      <c r="C398" s="48" t="s">
        <v>129</v>
      </c>
      <c r="D398" s="48" t="s">
        <v>158</v>
      </c>
      <c r="E398" s="49" t="s">
        <v>379</v>
      </c>
      <c r="F398" s="56" t="s">
        <v>88</v>
      </c>
      <c r="G398" s="62">
        <v>143.7</v>
      </c>
      <c r="H398" s="336"/>
      <c r="I398" s="336"/>
      <c r="J398" s="336"/>
      <c r="K398" s="336"/>
      <c r="L398" s="336"/>
      <c r="M398" s="336"/>
      <c r="N398" s="336"/>
      <c r="O398" s="336"/>
      <c r="P398" s="336"/>
      <c r="Q398" s="337"/>
      <c r="R398" s="336"/>
      <c r="S398" s="336"/>
      <c r="T398" s="336"/>
      <c r="U398" s="336"/>
      <c r="V398" s="336"/>
      <c r="W398" s="62">
        <v>143.7</v>
      </c>
      <c r="X398" s="62">
        <f>G398-W398</f>
        <v>0</v>
      </c>
    </row>
    <row r="399" spans="1:24" s="307" customFormat="1" ht="31.5">
      <c r="A399" s="257" t="s">
        <v>627</v>
      </c>
      <c r="B399" s="66"/>
      <c r="C399" s="48" t="s">
        <v>129</v>
      </c>
      <c r="D399" s="48" t="s">
        <v>158</v>
      </c>
      <c r="E399" s="56" t="s">
        <v>606</v>
      </c>
      <c r="F399" s="56"/>
      <c r="G399" s="62">
        <f>G400</f>
        <v>354.77</v>
      </c>
      <c r="H399" s="336"/>
      <c r="I399" s="336"/>
      <c r="J399" s="336"/>
      <c r="K399" s="336"/>
      <c r="L399" s="336"/>
      <c r="M399" s="336"/>
      <c r="N399" s="336"/>
      <c r="O399" s="336"/>
      <c r="P399" s="336"/>
      <c r="Q399" s="337"/>
      <c r="R399" s="336"/>
      <c r="S399" s="336"/>
      <c r="T399" s="336"/>
      <c r="U399" s="336"/>
      <c r="V399" s="336"/>
      <c r="W399" s="62">
        <f>W400</f>
        <v>354.8</v>
      </c>
      <c r="X399" s="62">
        <f>X400</f>
        <v>-0.03000000000002956</v>
      </c>
    </row>
    <row r="400" spans="1:24" s="307" customFormat="1" ht="31.5">
      <c r="A400" s="163" t="s">
        <v>190</v>
      </c>
      <c r="B400" s="66"/>
      <c r="C400" s="48" t="s">
        <v>129</v>
      </c>
      <c r="D400" s="48" t="s">
        <v>158</v>
      </c>
      <c r="E400" s="56" t="s">
        <v>606</v>
      </c>
      <c r="F400" s="56" t="s">
        <v>178</v>
      </c>
      <c r="G400" s="62">
        <f>G401</f>
        <v>354.77</v>
      </c>
      <c r="H400" s="336"/>
      <c r="I400" s="336"/>
      <c r="J400" s="336"/>
      <c r="K400" s="336"/>
      <c r="L400" s="336"/>
      <c r="M400" s="336"/>
      <c r="N400" s="336"/>
      <c r="O400" s="336"/>
      <c r="P400" s="336"/>
      <c r="Q400" s="337"/>
      <c r="R400" s="336"/>
      <c r="S400" s="336"/>
      <c r="T400" s="336"/>
      <c r="U400" s="336"/>
      <c r="V400" s="336"/>
      <c r="W400" s="62">
        <f>W401</f>
        <v>354.8</v>
      </c>
      <c r="X400" s="62">
        <f>X401</f>
        <v>-0.03000000000002956</v>
      </c>
    </row>
    <row r="401" spans="1:24" s="307" customFormat="1" ht="15.75">
      <c r="A401" s="235" t="s">
        <v>195</v>
      </c>
      <c r="B401" s="66"/>
      <c r="C401" s="48" t="s">
        <v>129</v>
      </c>
      <c r="D401" s="48" t="s">
        <v>158</v>
      </c>
      <c r="E401" s="56" t="s">
        <v>606</v>
      </c>
      <c r="F401" s="56" t="s">
        <v>196</v>
      </c>
      <c r="G401" s="62">
        <v>354.77</v>
      </c>
      <c r="H401" s="336"/>
      <c r="I401" s="336"/>
      <c r="J401" s="336"/>
      <c r="K401" s="336"/>
      <c r="L401" s="336"/>
      <c r="M401" s="336"/>
      <c r="N401" s="336"/>
      <c r="O401" s="336"/>
      <c r="P401" s="336"/>
      <c r="Q401" s="337"/>
      <c r="R401" s="336"/>
      <c r="S401" s="336"/>
      <c r="T401" s="336"/>
      <c r="U401" s="336"/>
      <c r="V401" s="336"/>
      <c r="W401" s="62">
        <v>354.8</v>
      </c>
      <c r="X401" s="62">
        <f>G401-W401</f>
        <v>-0.03000000000002956</v>
      </c>
    </row>
    <row r="402" spans="1:24" ht="15.75">
      <c r="A402" s="257" t="s">
        <v>216</v>
      </c>
      <c r="B402" s="51"/>
      <c r="C402" s="48" t="s">
        <v>129</v>
      </c>
      <c r="D402" s="48" t="s">
        <v>158</v>
      </c>
      <c r="E402" s="49" t="s">
        <v>218</v>
      </c>
      <c r="F402" s="56"/>
      <c r="G402" s="62">
        <f>G403</f>
        <v>125</v>
      </c>
      <c r="W402" s="62">
        <f>W403</f>
        <v>125</v>
      </c>
      <c r="X402" s="62">
        <f>X403</f>
        <v>0</v>
      </c>
    </row>
    <row r="403" spans="1:24" ht="24.75" customHeight="1">
      <c r="A403" s="163" t="s">
        <v>190</v>
      </c>
      <c r="B403" s="51"/>
      <c r="C403" s="48" t="s">
        <v>129</v>
      </c>
      <c r="D403" s="48" t="s">
        <v>158</v>
      </c>
      <c r="E403" s="49" t="s">
        <v>218</v>
      </c>
      <c r="F403" s="56" t="s">
        <v>178</v>
      </c>
      <c r="G403" s="62">
        <f>G404</f>
        <v>125</v>
      </c>
      <c r="H403" s="340">
        <f>H404</f>
        <v>0</v>
      </c>
      <c r="I403" s="340" t="e">
        <f>I404</f>
        <v>#REF!</v>
      </c>
      <c r="J403" s="341"/>
      <c r="W403" s="62">
        <f>W404</f>
        <v>125</v>
      </c>
      <c r="X403" s="62">
        <f>X404</f>
        <v>0</v>
      </c>
    </row>
    <row r="404" spans="1:24" ht="15" customHeight="1">
      <c r="A404" s="253" t="s">
        <v>195</v>
      </c>
      <c r="B404" s="51"/>
      <c r="C404" s="48" t="s">
        <v>129</v>
      </c>
      <c r="D404" s="48" t="s">
        <v>158</v>
      </c>
      <c r="E404" s="49" t="s">
        <v>218</v>
      </c>
      <c r="F404" s="56" t="s">
        <v>196</v>
      </c>
      <c r="G404" s="62">
        <v>125</v>
      </c>
      <c r="H404" s="340">
        <f>H405</f>
        <v>0</v>
      </c>
      <c r="I404" s="340" t="e">
        <f>I405</f>
        <v>#REF!</v>
      </c>
      <c r="J404" s="341"/>
      <c r="W404" s="62">
        <v>125</v>
      </c>
      <c r="X404" s="62">
        <f>G404-W404</f>
        <v>0</v>
      </c>
    </row>
    <row r="405" spans="1:24" ht="18.75" customHeight="1">
      <c r="A405" s="235" t="s">
        <v>105</v>
      </c>
      <c r="B405" s="47"/>
      <c r="C405" s="48" t="s">
        <v>129</v>
      </c>
      <c r="D405" s="48" t="s">
        <v>158</v>
      </c>
      <c r="E405" s="49" t="s">
        <v>319</v>
      </c>
      <c r="F405" s="56"/>
      <c r="G405" s="62">
        <f>G406</f>
        <v>20</v>
      </c>
      <c r="H405" s="340">
        <v>0</v>
      </c>
      <c r="I405" s="88" t="e">
        <f>#REF!-H405</f>
        <v>#REF!</v>
      </c>
      <c r="J405" s="342"/>
      <c r="W405" s="62">
        <f>W406</f>
        <v>20</v>
      </c>
      <c r="X405" s="62">
        <f>X406</f>
        <v>0</v>
      </c>
    </row>
    <row r="406" spans="1:24" ht="31.5" customHeight="1">
      <c r="A406" s="163" t="s">
        <v>190</v>
      </c>
      <c r="B406" s="47"/>
      <c r="C406" s="48" t="s">
        <v>129</v>
      </c>
      <c r="D406" s="48" t="s">
        <v>158</v>
      </c>
      <c r="E406" s="49" t="s">
        <v>319</v>
      </c>
      <c r="F406" s="56" t="s">
        <v>178</v>
      </c>
      <c r="G406" s="62">
        <f>G407</f>
        <v>20</v>
      </c>
      <c r="H406" s="340" t="e">
        <f>H407</f>
        <v>#REF!</v>
      </c>
      <c r="I406" s="340" t="e">
        <f>I407</f>
        <v>#REF!</v>
      </c>
      <c r="J406" s="341"/>
      <c r="W406" s="62">
        <f>W407</f>
        <v>20</v>
      </c>
      <c r="X406" s="62">
        <f>X407</f>
        <v>0</v>
      </c>
    </row>
    <row r="407" spans="1:24" ht="15" customHeight="1">
      <c r="A407" s="253" t="s">
        <v>195</v>
      </c>
      <c r="B407" s="47"/>
      <c r="C407" s="48" t="s">
        <v>129</v>
      </c>
      <c r="D407" s="48" t="s">
        <v>158</v>
      </c>
      <c r="E407" s="49" t="s">
        <v>319</v>
      </c>
      <c r="F407" s="56" t="s">
        <v>196</v>
      </c>
      <c r="G407" s="62">
        <v>20</v>
      </c>
      <c r="H407" s="340" t="e">
        <f>#REF!</f>
        <v>#REF!</v>
      </c>
      <c r="I407" s="340" t="e">
        <f>#REF!</f>
        <v>#REF!</v>
      </c>
      <c r="J407" s="341"/>
      <c r="W407" s="62">
        <v>20</v>
      </c>
      <c r="X407" s="62">
        <f>G407-W407</f>
        <v>0</v>
      </c>
    </row>
    <row r="408" spans="1:24" ht="15" customHeight="1">
      <c r="A408" s="253" t="s">
        <v>98</v>
      </c>
      <c r="B408" s="47"/>
      <c r="C408" s="48" t="s">
        <v>129</v>
      </c>
      <c r="D408" s="48" t="s">
        <v>158</v>
      </c>
      <c r="E408" s="49" t="s">
        <v>714</v>
      </c>
      <c r="F408" s="56"/>
      <c r="G408" s="62">
        <f>G409</f>
        <v>490</v>
      </c>
      <c r="H408" s="62">
        <f aca="true" t="shared" si="34" ref="H408:X409">H409</f>
        <v>0</v>
      </c>
      <c r="I408" s="62">
        <f t="shared" si="34"/>
        <v>0</v>
      </c>
      <c r="J408" s="62">
        <f t="shared" si="34"/>
        <v>0</v>
      </c>
      <c r="K408" s="62">
        <f t="shared" si="34"/>
        <v>0</v>
      </c>
      <c r="L408" s="62">
        <f t="shared" si="34"/>
        <v>0</v>
      </c>
      <c r="M408" s="62">
        <f t="shared" si="34"/>
        <v>0</v>
      </c>
      <c r="N408" s="62">
        <f t="shared" si="34"/>
        <v>0</v>
      </c>
      <c r="O408" s="62">
        <f t="shared" si="34"/>
        <v>0</v>
      </c>
      <c r="P408" s="62">
        <f t="shared" si="34"/>
        <v>0</v>
      </c>
      <c r="Q408" s="62">
        <f t="shared" si="34"/>
        <v>0</v>
      </c>
      <c r="R408" s="62">
        <f t="shared" si="34"/>
        <v>0</v>
      </c>
      <c r="S408" s="62">
        <f t="shared" si="34"/>
        <v>0</v>
      </c>
      <c r="T408" s="62">
        <f t="shared" si="34"/>
        <v>0</v>
      </c>
      <c r="U408" s="62">
        <f t="shared" si="34"/>
        <v>0</v>
      </c>
      <c r="V408" s="62">
        <f t="shared" si="34"/>
        <v>0</v>
      </c>
      <c r="W408" s="62">
        <f t="shared" si="34"/>
        <v>0</v>
      </c>
      <c r="X408" s="62">
        <f t="shared" si="34"/>
        <v>490</v>
      </c>
    </row>
    <row r="409" spans="1:24" ht="15" customHeight="1">
      <c r="A409" s="163" t="s">
        <v>190</v>
      </c>
      <c r="B409" s="47"/>
      <c r="C409" s="48" t="s">
        <v>129</v>
      </c>
      <c r="D409" s="48" t="s">
        <v>158</v>
      </c>
      <c r="E409" s="49" t="s">
        <v>714</v>
      </c>
      <c r="F409" s="56" t="s">
        <v>178</v>
      </c>
      <c r="G409" s="62">
        <f>G410</f>
        <v>490</v>
      </c>
      <c r="H409" s="62">
        <f t="shared" si="34"/>
        <v>0</v>
      </c>
      <c r="I409" s="62">
        <f t="shared" si="34"/>
        <v>0</v>
      </c>
      <c r="J409" s="62">
        <f t="shared" si="34"/>
        <v>0</v>
      </c>
      <c r="K409" s="62">
        <f t="shared" si="34"/>
        <v>0</v>
      </c>
      <c r="L409" s="62">
        <f t="shared" si="34"/>
        <v>0</v>
      </c>
      <c r="M409" s="62">
        <f t="shared" si="34"/>
        <v>0</v>
      </c>
      <c r="N409" s="62">
        <f t="shared" si="34"/>
        <v>0</v>
      </c>
      <c r="O409" s="62">
        <f t="shared" si="34"/>
        <v>0</v>
      </c>
      <c r="P409" s="62">
        <f t="shared" si="34"/>
        <v>0</v>
      </c>
      <c r="Q409" s="62">
        <f t="shared" si="34"/>
        <v>0</v>
      </c>
      <c r="R409" s="62">
        <f t="shared" si="34"/>
        <v>0</v>
      </c>
      <c r="S409" s="62">
        <f t="shared" si="34"/>
        <v>0</v>
      </c>
      <c r="T409" s="62">
        <f t="shared" si="34"/>
        <v>0</v>
      </c>
      <c r="U409" s="62">
        <f t="shared" si="34"/>
        <v>0</v>
      </c>
      <c r="V409" s="62">
        <f t="shared" si="34"/>
        <v>0</v>
      </c>
      <c r="W409" s="62">
        <f t="shared" si="34"/>
        <v>0</v>
      </c>
      <c r="X409" s="62">
        <f t="shared" si="34"/>
        <v>490</v>
      </c>
    </row>
    <row r="410" spans="1:24" ht="15" customHeight="1">
      <c r="A410" s="253" t="s">
        <v>195</v>
      </c>
      <c r="B410" s="47"/>
      <c r="C410" s="48" t="s">
        <v>129</v>
      </c>
      <c r="D410" s="48" t="s">
        <v>158</v>
      </c>
      <c r="E410" s="49" t="s">
        <v>714</v>
      </c>
      <c r="F410" s="56" t="s">
        <v>196</v>
      </c>
      <c r="G410" s="62">
        <v>490</v>
      </c>
      <c r="H410" s="343"/>
      <c r="I410" s="343"/>
      <c r="J410" s="341"/>
      <c r="W410" s="62"/>
      <c r="X410" s="62">
        <f>G410-W410</f>
        <v>490</v>
      </c>
    </row>
    <row r="411" spans="1:24" ht="15" customHeight="1">
      <c r="A411" s="244" t="s">
        <v>701</v>
      </c>
      <c r="B411" s="51"/>
      <c r="C411" s="48" t="s">
        <v>176</v>
      </c>
      <c r="D411" s="48" t="s">
        <v>158</v>
      </c>
      <c r="E411" s="49" t="s">
        <v>700</v>
      </c>
      <c r="F411" s="56"/>
      <c r="G411" s="62">
        <f>G412</f>
        <v>3000</v>
      </c>
      <c r="W411" s="62">
        <f>W412</f>
        <v>3000</v>
      </c>
      <c r="X411" s="62">
        <f>X412</f>
        <v>0</v>
      </c>
    </row>
    <row r="412" spans="1:24" ht="15" customHeight="1">
      <c r="A412" s="163" t="s">
        <v>190</v>
      </c>
      <c r="B412" s="51"/>
      <c r="C412" s="48" t="s">
        <v>129</v>
      </c>
      <c r="D412" s="48" t="s">
        <v>158</v>
      </c>
      <c r="E412" s="49" t="s">
        <v>700</v>
      </c>
      <c r="F412" s="56" t="s">
        <v>178</v>
      </c>
      <c r="G412" s="62">
        <f>G413</f>
        <v>3000</v>
      </c>
      <c r="W412" s="62">
        <f>W413</f>
        <v>3000</v>
      </c>
      <c r="X412" s="62">
        <f>X413</f>
        <v>0</v>
      </c>
    </row>
    <row r="413" spans="1:24" ht="15" customHeight="1">
      <c r="A413" s="253" t="s">
        <v>197</v>
      </c>
      <c r="B413" s="51"/>
      <c r="C413" s="48" t="s">
        <v>129</v>
      </c>
      <c r="D413" s="48" t="s">
        <v>158</v>
      </c>
      <c r="E413" s="49" t="s">
        <v>700</v>
      </c>
      <c r="F413" s="56" t="s">
        <v>196</v>
      </c>
      <c r="G413" s="62">
        <v>3000</v>
      </c>
      <c r="H413" s="336"/>
      <c r="I413" s="336"/>
      <c r="J413" s="336"/>
      <c r="K413" s="336"/>
      <c r="L413" s="336"/>
      <c r="M413" s="336"/>
      <c r="N413" s="336"/>
      <c r="O413" s="336"/>
      <c r="P413" s="336"/>
      <c r="Q413" s="337"/>
      <c r="R413" s="336"/>
      <c r="S413" s="336"/>
      <c r="T413" s="336"/>
      <c r="U413" s="336"/>
      <c r="V413" s="336"/>
      <c r="W413" s="62">
        <v>3000</v>
      </c>
      <c r="X413" s="62">
        <f>G413-W413</f>
        <v>0</v>
      </c>
    </row>
    <row r="414" spans="1:24" ht="15.75">
      <c r="A414" s="244" t="s">
        <v>295</v>
      </c>
      <c r="B414" s="51"/>
      <c r="C414" s="48" t="s">
        <v>176</v>
      </c>
      <c r="D414" s="48" t="s">
        <v>158</v>
      </c>
      <c r="E414" s="49" t="s">
        <v>417</v>
      </c>
      <c r="F414" s="56"/>
      <c r="G414" s="62">
        <f>G415</f>
        <v>0</v>
      </c>
      <c r="W414" s="62">
        <f>W415</f>
        <v>0</v>
      </c>
      <c r="X414" s="62">
        <f>X415</f>
        <v>0</v>
      </c>
    </row>
    <row r="415" spans="1:24" ht="31.5">
      <c r="A415" s="163" t="s">
        <v>190</v>
      </c>
      <c r="B415" s="51"/>
      <c r="C415" s="48" t="s">
        <v>129</v>
      </c>
      <c r="D415" s="48" t="s">
        <v>158</v>
      </c>
      <c r="E415" s="49" t="s">
        <v>417</v>
      </c>
      <c r="F415" s="56" t="s">
        <v>178</v>
      </c>
      <c r="G415" s="62">
        <f>G416</f>
        <v>0</v>
      </c>
      <c r="W415" s="62">
        <f>W416</f>
        <v>0</v>
      </c>
      <c r="X415" s="62">
        <f>X416</f>
        <v>0</v>
      </c>
    </row>
    <row r="416" spans="1:24" s="307" customFormat="1" ht="15.75">
      <c r="A416" s="253" t="s">
        <v>197</v>
      </c>
      <c r="B416" s="51"/>
      <c r="C416" s="48" t="s">
        <v>129</v>
      </c>
      <c r="D416" s="48" t="s">
        <v>158</v>
      </c>
      <c r="E416" s="49" t="s">
        <v>417</v>
      </c>
      <c r="F416" s="56" t="s">
        <v>196</v>
      </c>
      <c r="G416" s="62"/>
      <c r="H416" s="336"/>
      <c r="I416" s="336"/>
      <c r="J416" s="336"/>
      <c r="K416" s="336"/>
      <c r="L416" s="336"/>
      <c r="M416" s="336"/>
      <c r="N416" s="336"/>
      <c r="O416" s="336"/>
      <c r="P416" s="336"/>
      <c r="Q416" s="337"/>
      <c r="R416" s="336"/>
      <c r="S416" s="336"/>
      <c r="T416" s="336"/>
      <c r="U416" s="336"/>
      <c r="V416" s="336"/>
      <c r="W416" s="62"/>
      <c r="X416" s="62"/>
    </row>
    <row r="417" spans="1:24" s="307" customFormat="1" ht="31.5">
      <c r="A417" s="244" t="s">
        <v>267</v>
      </c>
      <c r="B417" s="51"/>
      <c r="C417" s="48" t="s">
        <v>176</v>
      </c>
      <c r="D417" s="48" t="s">
        <v>158</v>
      </c>
      <c r="E417" s="56" t="s">
        <v>359</v>
      </c>
      <c r="F417" s="56"/>
      <c r="G417" s="62">
        <f>G418</f>
        <v>36</v>
      </c>
      <c r="H417" s="336"/>
      <c r="I417" s="336"/>
      <c r="J417" s="336"/>
      <c r="K417" s="336"/>
      <c r="L417" s="336"/>
      <c r="M417" s="336"/>
      <c r="N417" s="336"/>
      <c r="O417" s="336"/>
      <c r="P417" s="336"/>
      <c r="Q417" s="337"/>
      <c r="R417" s="336"/>
      <c r="S417" s="336"/>
      <c r="T417" s="336"/>
      <c r="U417" s="336"/>
      <c r="V417" s="336"/>
      <c r="W417" s="62">
        <f>W418</f>
        <v>36</v>
      </c>
      <c r="X417" s="62">
        <f>X418</f>
        <v>0</v>
      </c>
    </row>
    <row r="418" spans="1:24" s="307" customFormat="1" ht="31.5">
      <c r="A418" s="163" t="s">
        <v>190</v>
      </c>
      <c r="B418" s="51"/>
      <c r="C418" s="48" t="s">
        <v>129</v>
      </c>
      <c r="D418" s="48" t="s">
        <v>158</v>
      </c>
      <c r="E418" s="56" t="s">
        <v>359</v>
      </c>
      <c r="F418" s="56" t="s">
        <v>178</v>
      </c>
      <c r="G418" s="62">
        <f>G419</f>
        <v>36</v>
      </c>
      <c r="H418" s="336"/>
      <c r="I418" s="336"/>
      <c r="J418" s="336"/>
      <c r="K418" s="336"/>
      <c r="L418" s="336"/>
      <c r="M418" s="336"/>
      <c r="N418" s="336"/>
      <c r="O418" s="336"/>
      <c r="P418" s="336"/>
      <c r="Q418" s="337"/>
      <c r="R418" s="336"/>
      <c r="S418" s="336"/>
      <c r="T418" s="336"/>
      <c r="U418" s="336"/>
      <c r="V418" s="336"/>
      <c r="W418" s="62">
        <f>W419</f>
        <v>36</v>
      </c>
      <c r="X418" s="62">
        <f>X419</f>
        <v>0</v>
      </c>
    </row>
    <row r="419" spans="1:24" s="307" customFormat="1" ht="15.75">
      <c r="A419" s="235" t="s">
        <v>197</v>
      </c>
      <c r="B419" s="51"/>
      <c r="C419" s="48" t="s">
        <v>129</v>
      </c>
      <c r="D419" s="48" t="s">
        <v>158</v>
      </c>
      <c r="E419" s="56" t="s">
        <v>359</v>
      </c>
      <c r="F419" s="56" t="s">
        <v>196</v>
      </c>
      <c r="G419" s="62">
        <v>36</v>
      </c>
      <c r="H419" s="336"/>
      <c r="I419" s="336"/>
      <c r="J419" s="336"/>
      <c r="K419" s="336"/>
      <c r="L419" s="336"/>
      <c r="M419" s="336"/>
      <c r="N419" s="336"/>
      <c r="O419" s="336"/>
      <c r="P419" s="336"/>
      <c r="Q419" s="337"/>
      <c r="R419" s="336"/>
      <c r="S419" s="336"/>
      <c r="T419" s="336"/>
      <c r="U419" s="336"/>
      <c r="V419" s="336"/>
      <c r="W419" s="62">
        <v>36</v>
      </c>
      <c r="X419" s="62">
        <f>G419-W419</f>
        <v>0</v>
      </c>
    </row>
    <row r="420" spans="1:24" s="307" customFormat="1" ht="15.75">
      <c r="A420" s="257" t="s">
        <v>268</v>
      </c>
      <c r="B420" s="66"/>
      <c r="C420" s="48" t="s">
        <v>129</v>
      </c>
      <c r="D420" s="48" t="s">
        <v>158</v>
      </c>
      <c r="E420" s="49" t="s">
        <v>35</v>
      </c>
      <c r="F420" s="56"/>
      <c r="G420" s="62">
        <f>G421</f>
        <v>135.6</v>
      </c>
      <c r="H420" s="336"/>
      <c r="I420" s="336"/>
      <c r="J420" s="336"/>
      <c r="K420" s="336"/>
      <c r="L420" s="336"/>
      <c r="M420" s="336"/>
      <c r="N420" s="336"/>
      <c r="O420" s="336"/>
      <c r="P420" s="336"/>
      <c r="Q420" s="337"/>
      <c r="R420" s="336"/>
      <c r="S420" s="336"/>
      <c r="T420" s="336"/>
      <c r="U420" s="336"/>
      <c r="V420" s="336"/>
      <c r="W420" s="62">
        <f>W421</f>
        <v>135.6</v>
      </c>
      <c r="X420" s="62">
        <f>X421</f>
        <v>0</v>
      </c>
    </row>
    <row r="421" spans="1:24" s="307" customFormat="1" ht="31.5">
      <c r="A421" s="163" t="s">
        <v>190</v>
      </c>
      <c r="B421" s="66"/>
      <c r="C421" s="48" t="s">
        <v>129</v>
      </c>
      <c r="D421" s="48" t="s">
        <v>158</v>
      </c>
      <c r="E421" s="49" t="s">
        <v>35</v>
      </c>
      <c r="F421" s="56" t="s">
        <v>178</v>
      </c>
      <c r="G421" s="62">
        <f>SUM(G422:G422)</f>
        <v>135.6</v>
      </c>
      <c r="H421" s="336"/>
      <c r="I421" s="336"/>
      <c r="J421" s="336"/>
      <c r="K421" s="336"/>
      <c r="L421" s="336"/>
      <c r="M421" s="336"/>
      <c r="N421" s="336"/>
      <c r="O421" s="336"/>
      <c r="P421" s="336"/>
      <c r="Q421" s="337"/>
      <c r="R421" s="336"/>
      <c r="S421" s="336"/>
      <c r="T421" s="336"/>
      <c r="U421" s="336"/>
      <c r="V421" s="336"/>
      <c r="W421" s="62">
        <f>SUM(W422:W422)</f>
        <v>135.6</v>
      </c>
      <c r="X421" s="62">
        <f>SUM(X422:X422)</f>
        <v>0</v>
      </c>
    </row>
    <row r="422" spans="1:24" s="307" customFormat="1" ht="15.75">
      <c r="A422" s="253" t="s">
        <v>195</v>
      </c>
      <c r="B422" s="66"/>
      <c r="C422" s="48" t="s">
        <v>129</v>
      </c>
      <c r="D422" s="48" t="s">
        <v>158</v>
      </c>
      <c r="E422" s="49" t="s">
        <v>35</v>
      </c>
      <c r="F422" s="56" t="s">
        <v>196</v>
      </c>
      <c r="G422" s="62">
        <v>135.6</v>
      </c>
      <c r="H422" s="336"/>
      <c r="I422" s="336"/>
      <c r="J422" s="336"/>
      <c r="K422" s="336"/>
      <c r="L422" s="336"/>
      <c r="M422" s="336"/>
      <c r="N422" s="336"/>
      <c r="O422" s="336"/>
      <c r="P422" s="336"/>
      <c r="Q422" s="337"/>
      <c r="R422" s="336"/>
      <c r="S422" s="336"/>
      <c r="T422" s="336"/>
      <c r="U422" s="336"/>
      <c r="V422" s="336"/>
      <c r="W422" s="62">
        <v>135.6</v>
      </c>
      <c r="X422" s="62">
        <f>G422-W422</f>
        <v>0</v>
      </c>
    </row>
    <row r="423" spans="1:24" s="307" customFormat="1" ht="15.75">
      <c r="A423" s="257" t="s">
        <v>269</v>
      </c>
      <c r="B423" s="47"/>
      <c r="C423" s="48" t="s">
        <v>129</v>
      </c>
      <c r="D423" s="48" t="s">
        <v>158</v>
      </c>
      <c r="E423" s="49" t="s">
        <v>36</v>
      </c>
      <c r="F423" s="56"/>
      <c r="G423" s="62">
        <f>G424</f>
        <v>150</v>
      </c>
      <c r="H423" s="336"/>
      <c r="I423" s="336"/>
      <c r="J423" s="336"/>
      <c r="K423" s="336"/>
      <c r="L423" s="336"/>
      <c r="M423" s="336"/>
      <c r="N423" s="336"/>
      <c r="O423" s="336"/>
      <c r="P423" s="336"/>
      <c r="Q423" s="337"/>
      <c r="R423" s="336"/>
      <c r="S423" s="336"/>
      <c r="T423" s="336"/>
      <c r="U423" s="336"/>
      <c r="V423" s="336"/>
      <c r="W423" s="62">
        <f>W424</f>
        <v>150</v>
      </c>
      <c r="X423" s="62">
        <f>X424</f>
        <v>0</v>
      </c>
    </row>
    <row r="424" spans="1:24" s="307" customFormat="1" ht="31.5">
      <c r="A424" s="163" t="s">
        <v>190</v>
      </c>
      <c r="B424" s="47"/>
      <c r="C424" s="48" t="s">
        <v>129</v>
      </c>
      <c r="D424" s="48" t="s">
        <v>158</v>
      </c>
      <c r="E424" s="49" t="s">
        <v>36</v>
      </c>
      <c r="F424" s="56" t="s">
        <v>178</v>
      </c>
      <c r="G424" s="62">
        <f>SUM(G425:G425)</f>
        <v>150</v>
      </c>
      <c r="H424" s="336"/>
      <c r="I424" s="336"/>
      <c r="J424" s="336"/>
      <c r="K424" s="336"/>
      <c r="L424" s="336"/>
      <c r="M424" s="336"/>
      <c r="N424" s="336"/>
      <c r="O424" s="336"/>
      <c r="P424" s="336"/>
      <c r="Q424" s="337"/>
      <c r="R424" s="336"/>
      <c r="S424" s="336"/>
      <c r="T424" s="336"/>
      <c r="U424" s="336"/>
      <c r="V424" s="336"/>
      <c r="W424" s="62">
        <f>SUM(W425:W425)</f>
        <v>150</v>
      </c>
      <c r="X424" s="62">
        <f>SUM(X425:X425)</f>
        <v>0</v>
      </c>
    </row>
    <row r="425" spans="1:24" s="307" customFormat="1" ht="15.75">
      <c r="A425" s="253" t="s">
        <v>195</v>
      </c>
      <c r="B425" s="51"/>
      <c r="C425" s="48" t="s">
        <v>129</v>
      </c>
      <c r="D425" s="48" t="s">
        <v>158</v>
      </c>
      <c r="E425" s="49" t="s">
        <v>36</v>
      </c>
      <c r="F425" s="56" t="s">
        <v>196</v>
      </c>
      <c r="G425" s="62">
        <v>150</v>
      </c>
      <c r="H425" s="336"/>
      <c r="I425" s="336"/>
      <c r="J425" s="336"/>
      <c r="K425" s="336"/>
      <c r="L425" s="336"/>
      <c r="M425" s="336"/>
      <c r="N425" s="336"/>
      <c r="O425" s="336"/>
      <c r="P425" s="336"/>
      <c r="Q425" s="337"/>
      <c r="R425" s="336"/>
      <c r="S425" s="336"/>
      <c r="T425" s="336"/>
      <c r="U425" s="336"/>
      <c r="V425" s="336"/>
      <c r="W425" s="62">
        <v>150</v>
      </c>
      <c r="X425" s="62">
        <f>G425-W425</f>
        <v>0</v>
      </c>
    </row>
    <row r="426" spans="1:24" s="307" customFormat="1" ht="68.25" customHeight="1">
      <c r="A426" s="270" t="s">
        <v>552</v>
      </c>
      <c r="B426" s="51"/>
      <c r="C426" s="48" t="s">
        <v>129</v>
      </c>
      <c r="D426" s="48" t="s">
        <v>158</v>
      </c>
      <c r="E426" s="76" t="s">
        <v>418</v>
      </c>
      <c r="F426" s="76"/>
      <c r="G426" s="62">
        <f>G427</f>
        <v>50</v>
      </c>
      <c r="H426" s="336"/>
      <c r="I426" s="336"/>
      <c r="J426" s="336"/>
      <c r="K426" s="336"/>
      <c r="L426" s="336"/>
      <c r="M426" s="336"/>
      <c r="N426" s="336"/>
      <c r="O426" s="336"/>
      <c r="P426" s="336"/>
      <c r="Q426" s="337"/>
      <c r="R426" s="336"/>
      <c r="S426" s="336"/>
      <c r="T426" s="336"/>
      <c r="U426" s="336"/>
      <c r="V426" s="336"/>
      <c r="W426" s="62">
        <f>W427</f>
        <v>50</v>
      </c>
      <c r="X426" s="62">
        <f>X427</f>
        <v>0</v>
      </c>
    </row>
    <row r="427" spans="1:24" s="307" customFormat="1" ht="19.5" customHeight="1">
      <c r="A427" s="262" t="s">
        <v>263</v>
      </c>
      <c r="B427" s="51"/>
      <c r="C427" s="48" t="s">
        <v>129</v>
      </c>
      <c r="D427" s="48" t="s">
        <v>158</v>
      </c>
      <c r="E427" s="76" t="s">
        <v>418</v>
      </c>
      <c r="F427" s="76" t="s">
        <v>178</v>
      </c>
      <c r="G427" s="62">
        <f>G428</f>
        <v>50</v>
      </c>
      <c r="H427" s="336"/>
      <c r="I427" s="336"/>
      <c r="J427" s="336"/>
      <c r="K427" s="336"/>
      <c r="L427" s="336"/>
      <c r="M427" s="336"/>
      <c r="N427" s="336"/>
      <c r="O427" s="336"/>
      <c r="P427" s="336"/>
      <c r="Q427" s="337"/>
      <c r="R427" s="336"/>
      <c r="S427" s="336"/>
      <c r="T427" s="336"/>
      <c r="U427" s="336"/>
      <c r="V427" s="336"/>
      <c r="W427" s="62">
        <f>W428</f>
        <v>50</v>
      </c>
      <c r="X427" s="62">
        <f>X428</f>
        <v>0</v>
      </c>
    </row>
    <row r="428" spans="1:24" s="307" customFormat="1" ht="15.75">
      <c r="A428" s="253" t="s">
        <v>195</v>
      </c>
      <c r="B428" s="51"/>
      <c r="C428" s="48" t="s">
        <v>129</v>
      </c>
      <c r="D428" s="48" t="s">
        <v>158</v>
      </c>
      <c r="E428" s="76" t="s">
        <v>418</v>
      </c>
      <c r="F428" s="76" t="s">
        <v>196</v>
      </c>
      <c r="G428" s="62">
        <v>50</v>
      </c>
      <c r="H428" s="336"/>
      <c r="I428" s="336"/>
      <c r="J428" s="336"/>
      <c r="K428" s="336"/>
      <c r="L428" s="336"/>
      <c r="M428" s="336"/>
      <c r="N428" s="336"/>
      <c r="O428" s="336"/>
      <c r="P428" s="336"/>
      <c r="Q428" s="337"/>
      <c r="R428" s="336"/>
      <c r="S428" s="336"/>
      <c r="T428" s="336"/>
      <c r="U428" s="336"/>
      <c r="V428" s="336"/>
      <c r="W428" s="62">
        <v>50</v>
      </c>
      <c r="X428" s="62">
        <f>G428-W428</f>
        <v>0</v>
      </c>
    </row>
    <row r="429" spans="1:24" s="307" customFormat="1" ht="31.5">
      <c r="A429" s="262" t="s">
        <v>595</v>
      </c>
      <c r="B429" s="51"/>
      <c r="C429" s="48" t="s">
        <v>129</v>
      </c>
      <c r="D429" s="48" t="s">
        <v>158</v>
      </c>
      <c r="E429" s="76" t="s">
        <v>607</v>
      </c>
      <c r="F429" s="76"/>
      <c r="G429" s="62">
        <f>G430</f>
        <v>331.5</v>
      </c>
      <c r="H429" s="336"/>
      <c r="I429" s="336"/>
      <c r="J429" s="336"/>
      <c r="K429" s="336"/>
      <c r="L429" s="336"/>
      <c r="M429" s="336"/>
      <c r="N429" s="336"/>
      <c r="O429" s="336"/>
      <c r="P429" s="336"/>
      <c r="Q429" s="337"/>
      <c r="R429" s="336"/>
      <c r="S429" s="336"/>
      <c r="T429" s="336"/>
      <c r="U429" s="336"/>
      <c r="V429" s="336"/>
      <c r="W429" s="62">
        <f>W430</f>
        <v>331.5</v>
      </c>
      <c r="X429" s="62">
        <f>X430</f>
        <v>0</v>
      </c>
    </row>
    <row r="430" spans="1:24" s="307" customFormat="1" ht="23.25" customHeight="1">
      <c r="A430" s="262" t="s">
        <v>263</v>
      </c>
      <c r="B430" s="51"/>
      <c r="C430" s="48" t="s">
        <v>129</v>
      </c>
      <c r="D430" s="48" t="s">
        <v>158</v>
      </c>
      <c r="E430" s="76" t="s">
        <v>607</v>
      </c>
      <c r="F430" s="76" t="s">
        <v>178</v>
      </c>
      <c r="G430" s="62">
        <f>G431</f>
        <v>331.5</v>
      </c>
      <c r="H430" s="336"/>
      <c r="I430" s="336"/>
      <c r="J430" s="336"/>
      <c r="K430" s="336"/>
      <c r="L430" s="336"/>
      <c r="M430" s="336"/>
      <c r="N430" s="336"/>
      <c r="O430" s="336"/>
      <c r="P430" s="336"/>
      <c r="Q430" s="337"/>
      <c r="R430" s="336"/>
      <c r="S430" s="336"/>
      <c r="T430" s="336"/>
      <c r="U430" s="336"/>
      <c r="V430" s="336"/>
      <c r="W430" s="62">
        <f>W431</f>
        <v>331.5</v>
      </c>
      <c r="X430" s="62">
        <f>X431</f>
        <v>0</v>
      </c>
    </row>
    <row r="431" spans="1:24" s="307" customFormat="1" ht="15.75">
      <c r="A431" s="253" t="s">
        <v>195</v>
      </c>
      <c r="B431" s="51"/>
      <c r="C431" s="48" t="s">
        <v>129</v>
      </c>
      <c r="D431" s="48" t="s">
        <v>158</v>
      </c>
      <c r="E431" s="76" t="s">
        <v>607</v>
      </c>
      <c r="F431" s="76" t="s">
        <v>196</v>
      </c>
      <c r="G431" s="62">
        <v>331.5</v>
      </c>
      <c r="H431" s="336"/>
      <c r="I431" s="336"/>
      <c r="J431" s="336"/>
      <c r="K431" s="336"/>
      <c r="L431" s="336"/>
      <c r="M431" s="336"/>
      <c r="N431" s="336"/>
      <c r="O431" s="336"/>
      <c r="P431" s="336"/>
      <c r="Q431" s="337"/>
      <c r="R431" s="336"/>
      <c r="S431" s="336"/>
      <c r="T431" s="336"/>
      <c r="U431" s="336"/>
      <c r="V431" s="336"/>
      <c r="W431" s="62">
        <v>331.5</v>
      </c>
      <c r="X431" s="62">
        <f>G431-W431</f>
        <v>0</v>
      </c>
    </row>
    <row r="432" spans="1:24" s="307" customFormat="1" ht="31.5">
      <c r="A432" s="234" t="s">
        <v>539</v>
      </c>
      <c r="B432" s="51"/>
      <c r="C432" s="45" t="s">
        <v>129</v>
      </c>
      <c r="D432" s="45" t="s">
        <v>158</v>
      </c>
      <c r="E432" s="52" t="s">
        <v>80</v>
      </c>
      <c r="F432" s="57"/>
      <c r="G432" s="58">
        <f>G433</f>
        <v>50</v>
      </c>
      <c r="H432" s="336"/>
      <c r="I432" s="336"/>
      <c r="J432" s="336"/>
      <c r="K432" s="336"/>
      <c r="L432" s="336"/>
      <c r="M432" s="336"/>
      <c r="N432" s="336"/>
      <c r="O432" s="336"/>
      <c r="P432" s="336"/>
      <c r="Q432" s="337"/>
      <c r="R432" s="336"/>
      <c r="S432" s="336"/>
      <c r="T432" s="336"/>
      <c r="U432" s="336"/>
      <c r="V432" s="336"/>
      <c r="W432" s="58">
        <f aca="true" t="shared" si="35" ref="W432:X434">W433</f>
        <v>50</v>
      </c>
      <c r="X432" s="58">
        <f t="shared" si="35"/>
        <v>0</v>
      </c>
    </row>
    <row r="433" spans="1:24" s="307" customFormat="1" ht="15.75">
      <c r="A433" s="268" t="s">
        <v>540</v>
      </c>
      <c r="B433" s="66"/>
      <c r="C433" s="48" t="s">
        <v>129</v>
      </c>
      <c r="D433" s="48" t="s">
        <v>158</v>
      </c>
      <c r="E433" s="49" t="s">
        <v>81</v>
      </c>
      <c r="F433" s="56"/>
      <c r="G433" s="62">
        <f>G434</f>
        <v>50</v>
      </c>
      <c r="H433" s="336"/>
      <c r="I433" s="336"/>
      <c r="J433" s="336"/>
      <c r="K433" s="336"/>
      <c r="L433" s="336"/>
      <c r="M433" s="336"/>
      <c r="N433" s="336"/>
      <c r="O433" s="336"/>
      <c r="P433" s="336"/>
      <c r="Q433" s="337"/>
      <c r="R433" s="336"/>
      <c r="S433" s="336"/>
      <c r="T433" s="336"/>
      <c r="U433" s="336"/>
      <c r="V433" s="336"/>
      <c r="W433" s="62">
        <f t="shared" si="35"/>
        <v>50</v>
      </c>
      <c r="X433" s="62">
        <f t="shared" si="35"/>
        <v>0</v>
      </c>
    </row>
    <row r="434" spans="1:24" s="307" customFormat="1" ht="31.5">
      <c r="A434" s="163" t="s">
        <v>190</v>
      </c>
      <c r="B434" s="66"/>
      <c r="C434" s="48" t="s">
        <v>129</v>
      </c>
      <c r="D434" s="48" t="s">
        <v>158</v>
      </c>
      <c r="E434" s="49" t="s">
        <v>81</v>
      </c>
      <c r="F434" s="56" t="s">
        <v>178</v>
      </c>
      <c r="G434" s="62">
        <f>G435</f>
        <v>50</v>
      </c>
      <c r="H434" s="336"/>
      <c r="I434" s="336"/>
      <c r="J434" s="336"/>
      <c r="K434" s="336"/>
      <c r="L434" s="336"/>
      <c r="M434" s="336"/>
      <c r="N434" s="336"/>
      <c r="O434" s="336"/>
      <c r="P434" s="336"/>
      <c r="Q434" s="336"/>
      <c r="R434" s="336"/>
      <c r="S434" s="336"/>
      <c r="T434" s="336"/>
      <c r="U434" s="336"/>
      <c r="V434" s="336"/>
      <c r="W434" s="62">
        <f t="shared" si="35"/>
        <v>50</v>
      </c>
      <c r="X434" s="62">
        <f t="shared" si="35"/>
        <v>0</v>
      </c>
    </row>
    <row r="435" spans="1:24" s="307" customFormat="1" ht="15.75">
      <c r="A435" s="253" t="s">
        <v>195</v>
      </c>
      <c r="B435" s="66"/>
      <c r="C435" s="48" t="s">
        <v>129</v>
      </c>
      <c r="D435" s="48" t="s">
        <v>158</v>
      </c>
      <c r="E435" s="49" t="s">
        <v>81</v>
      </c>
      <c r="F435" s="56" t="s">
        <v>196</v>
      </c>
      <c r="G435" s="62">
        <v>50</v>
      </c>
      <c r="H435" s="344"/>
      <c r="I435" s="345"/>
      <c r="J435" s="336"/>
      <c r="K435" s="336"/>
      <c r="L435" s="336"/>
      <c r="M435" s="336"/>
      <c r="N435" s="336"/>
      <c r="O435" s="336"/>
      <c r="P435" s="336"/>
      <c r="Q435" s="336"/>
      <c r="R435" s="336"/>
      <c r="S435" s="336"/>
      <c r="T435" s="336"/>
      <c r="U435" s="336"/>
      <c r="V435" s="336"/>
      <c r="W435" s="62">
        <v>50</v>
      </c>
      <c r="X435" s="62">
        <f>G435-W435</f>
        <v>0</v>
      </c>
    </row>
    <row r="436" spans="1:24" s="307" customFormat="1" ht="15.75">
      <c r="A436" s="242" t="s">
        <v>512</v>
      </c>
      <c r="B436" s="66"/>
      <c r="C436" s="45" t="s">
        <v>129</v>
      </c>
      <c r="D436" s="45" t="s">
        <v>158</v>
      </c>
      <c r="E436" s="52" t="s">
        <v>511</v>
      </c>
      <c r="F436" s="56"/>
      <c r="G436" s="58">
        <f>G437</f>
        <v>29197.69</v>
      </c>
      <c r="H436" s="344"/>
      <c r="I436" s="345"/>
      <c r="J436" s="336"/>
      <c r="K436" s="336"/>
      <c r="L436" s="336"/>
      <c r="M436" s="336"/>
      <c r="N436" s="336"/>
      <c r="O436" s="336"/>
      <c r="P436" s="336"/>
      <c r="Q436" s="337"/>
      <c r="R436" s="336"/>
      <c r="S436" s="336"/>
      <c r="T436" s="336"/>
      <c r="U436" s="336"/>
      <c r="V436" s="336"/>
      <c r="W436" s="58">
        <f aca="true" t="shared" si="36" ref="W436:X439">W437</f>
        <v>29197.7</v>
      </c>
      <c r="X436" s="58">
        <f t="shared" si="36"/>
        <v>-0.010000000002037268</v>
      </c>
    </row>
    <row r="437" spans="1:24" s="307" customFormat="1" ht="15.75">
      <c r="A437" s="242" t="s">
        <v>289</v>
      </c>
      <c r="B437" s="66"/>
      <c r="C437" s="45" t="s">
        <v>129</v>
      </c>
      <c r="D437" s="45" t="s">
        <v>158</v>
      </c>
      <c r="E437" s="52" t="s">
        <v>281</v>
      </c>
      <c r="F437" s="56"/>
      <c r="G437" s="62">
        <f>G438</f>
        <v>29197.69</v>
      </c>
      <c r="H437" s="344"/>
      <c r="I437" s="345"/>
      <c r="J437" s="336"/>
      <c r="K437" s="336"/>
      <c r="L437" s="336"/>
      <c r="M437" s="336"/>
      <c r="N437" s="336"/>
      <c r="O437" s="336"/>
      <c r="P437" s="336"/>
      <c r="Q437" s="337"/>
      <c r="R437" s="336"/>
      <c r="S437" s="336"/>
      <c r="T437" s="336"/>
      <c r="U437" s="336"/>
      <c r="V437" s="336"/>
      <c r="W437" s="62">
        <f t="shared" si="36"/>
        <v>29197.7</v>
      </c>
      <c r="X437" s="62">
        <f t="shared" si="36"/>
        <v>-0.010000000002037268</v>
      </c>
    </row>
    <row r="438" spans="1:24" s="307" customFormat="1" ht="47.25">
      <c r="A438" s="238" t="s">
        <v>668</v>
      </c>
      <c r="B438" s="66"/>
      <c r="C438" s="48" t="s">
        <v>129</v>
      </c>
      <c r="D438" s="48" t="s">
        <v>158</v>
      </c>
      <c r="E438" s="56" t="s">
        <v>667</v>
      </c>
      <c r="F438" s="56"/>
      <c r="G438" s="62">
        <f>G439</f>
        <v>29197.69</v>
      </c>
      <c r="H438" s="344"/>
      <c r="I438" s="345"/>
      <c r="J438" s="336"/>
      <c r="K438" s="336"/>
      <c r="L438" s="336"/>
      <c r="M438" s="336"/>
      <c r="N438" s="336"/>
      <c r="O438" s="336"/>
      <c r="P438" s="336"/>
      <c r="Q438" s="337"/>
      <c r="R438" s="336"/>
      <c r="S438" s="336"/>
      <c r="T438" s="336"/>
      <c r="U438" s="336"/>
      <c r="V438" s="336"/>
      <c r="W438" s="62">
        <f t="shared" si="36"/>
        <v>29197.7</v>
      </c>
      <c r="X438" s="62">
        <f t="shared" si="36"/>
        <v>-0.010000000002037268</v>
      </c>
    </row>
    <row r="439" spans="1:24" s="307" customFormat="1" ht="31.5">
      <c r="A439" s="271" t="s">
        <v>190</v>
      </c>
      <c r="B439" s="66"/>
      <c r="C439" s="48" t="s">
        <v>129</v>
      </c>
      <c r="D439" s="48" t="s">
        <v>158</v>
      </c>
      <c r="E439" s="56" t="s">
        <v>667</v>
      </c>
      <c r="F439" s="56" t="s">
        <v>178</v>
      </c>
      <c r="G439" s="62">
        <f>G440</f>
        <v>29197.69</v>
      </c>
      <c r="H439" s="344"/>
      <c r="I439" s="345"/>
      <c r="J439" s="336"/>
      <c r="K439" s="336"/>
      <c r="L439" s="336"/>
      <c r="M439" s="336"/>
      <c r="N439" s="336"/>
      <c r="O439" s="336"/>
      <c r="P439" s="336"/>
      <c r="Q439" s="337"/>
      <c r="R439" s="336"/>
      <c r="S439" s="336"/>
      <c r="T439" s="336"/>
      <c r="U439" s="336"/>
      <c r="V439" s="336"/>
      <c r="W439" s="62">
        <f t="shared" si="36"/>
        <v>29197.7</v>
      </c>
      <c r="X439" s="62">
        <f t="shared" si="36"/>
        <v>-0.010000000002037268</v>
      </c>
    </row>
    <row r="440" spans="1:24" s="307" customFormat="1" ht="15.75">
      <c r="A440" s="271" t="s">
        <v>197</v>
      </c>
      <c r="B440" s="66"/>
      <c r="C440" s="48" t="s">
        <v>129</v>
      </c>
      <c r="D440" s="48" t="s">
        <v>158</v>
      </c>
      <c r="E440" s="56" t="s">
        <v>667</v>
      </c>
      <c r="F440" s="56" t="s">
        <v>196</v>
      </c>
      <c r="G440" s="62">
        <f>324+28873.69</f>
        <v>29197.69</v>
      </c>
      <c r="H440" s="344"/>
      <c r="I440" s="345"/>
      <c r="J440" s="336"/>
      <c r="K440" s="336"/>
      <c r="L440" s="336"/>
      <c r="M440" s="336"/>
      <c r="N440" s="336"/>
      <c r="O440" s="336"/>
      <c r="P440" s="336"/>
      <c r="Q440" s="337"/>
      <c r="R440" s="336"/>
      <c r="S440" s="336"/>
      <c r="T440" s="336"/>
      <c r="U440" s="336"/>
      <c r="V440" s="336"/>
      <c r="W440" s="62">
        <f>324+28873.7</f>
        <v>29197.7</v>
      </c>
      <c r="X440" s="62">
        <f>G440-W440</f>
        <v>-0.010000000002037268</v>
      </c>
    </row>
    <row r="441" spans="1:24" s="307" customFormat="1" ht="17.25" customHeight="1">
      <c r="A441" s="252" t="s">
        <v>550</v>
      </c>
      <c r="B441" s="55"/>
      <c r="C441" s="45" t="s">
        <v>129</v>
      </c>
      <c r="D441" s="45" t="s">
        <v>129</v>
      </c>
      <c r="E441" s="57" t="s">
        <v>337</v>
      </c>
      <c r="F441" s="57"/>
      <c r="G441" s="58">
        <f>G442</f>
        <v>150</v>
      </c>
      <c r="H441" s="344"/>
      <c r="I441" s="345"/>
      <c r="J441" s="336"/>
      <c r="K441" s="336"/>
      <c r="L441" s="336"/>
      <c r="M441" s="336"/>
      <c r="N441" s="336"/>
      <c r="O441" s="336"/>
      <c r="P441" s="336"/>
      <c r="Q441" s="337"/>
      <c r="R441" s="346">
        <f>G441+G598</f>
        <v>1777</v>
      </c>
      <c r="S441" s="336"/>
      <c r="T441" s="336"/>
      <c r="U441" s="336"/>
      <c r="V441" s="336"/>
      <c r="W441" s="58">
        <f>W442</f>
        <v>150</v>
      </c>
      <c r="X441" s="58">
        <f>X442</f>
        <v>0</v>
      </c>
    </row>
    <row r="442" spans="1:24" s="307" customFormat="1" ht="15.75">
      <c r="A442" s="238" t="s">
        <v>309</v>
      </c>
      <c r="B442" s="55"/>
      <c r="C442" s="48" t="s">
        <v>129</v>
      </c>
      <c r="D442" s="48" t="s">
        <v>129</v>
      </c>
      <c r="E442" s="56" t="s">
        <v>372</v>
      </c>
      <c r="F442" s="56"/>
      <c r="G442" s="62">
        <f>SUM(G443)</f>
        <v>150</v>
      </c>
      <c r="H442" s="344">
        <v>244</v>
      </c>
      <c r="I442" s="345">
        <f>500000+306000-5132.5</f>
        <v>800867.5</v>
      </c>
      <c r="J442" s="336"/>
      <c r="K442" s="336"/>
      <c r="L442" s="336"/>
      <c r="M442" s="336"/>
      <c r="N442" s="336"/>
      <c r="O442" s="336"/>
      <c r="P442" s="336"/>
      <c r="Q442" s="337"/>
      <c r="R442" s="336"/>
      <c r="S442" s="336"/>
      <c r="T442" s="336"/>
      <c r="U442" s="336"/>
      <c r="V442" s="336"/>
      <c r="W442" s="62">
        <f>SUM(W443)</f>
        <v>150</v>
      </c>
      <c r="X442" s="62">
        <f>SUM(X443)</f>
        <v>0</v>
      </c>
    </row>
    <row r="443" spans="1:24" s="307" customFormat="1" ht="31.5">
      <c r="A443" s="163" t="s">
        <v>190</v>
      </c>
      <c r="B443" s="47"/>
      <c r="C443" s="48" t="s">
        <v>129</v>
      </c>
      <c r="D443" s="48" t="s">
        <v>129</v>
      </c>
      <c r="E443" s="56" t="s">
        <v>372</v>
      </c>
      <c r="F443" s="56" t="s">
        <v>178</v>
      </c>
      <c r="G443" s="62">
        <f>G444</f>
        <v>150</v>
      </c>
      <c r="H443" s="344"/>
      <c r="I443" s="345"/>
      <c r="J443" s="336"/>
      <c r="K443" s="336"/>
      <c r="L443" s="336"/>
      <c r="M443" s="336"/>
      <c r="N443" s="336"/>
      <c r="O443" s="336"/>
      <c r="P443" s="336"/>
      <c r="Q443" s="337"/>
      <c r="R443" s="336"/>
      <c r="S443" s="336"/>
      <c r="T443" s="336"/>
      <c r="U443" s="336"/>
      <c r="V443" s="336"/>
      <c r="W443" s="62">
        <f>W444</f>
        <v>150</v>
      </c>
      <c r="X443" s="62">
        <f>X444</f>
        <v>0</v>
      </c>
    </row>
    <row r="444" spans="1:24" s="307" customFormat="1" ht="15.75">
      <c r="A444" s="253" t="s">
        <v>191</v>
      </c>
      <c r="B444" s="55"/>
      <c r="C444" s="48" t="s">
        <v>129</v>
      </c>
      <c r="D444" s="48" t="s">
        <v>129</v>
      </c>
      <c r="E444" s="56" t="s">
        <v>372</v>
      </c>
      <c r="F444" s="56" t="s">
        <v>192</v>
      </c>
      <c r="G444" s="62">
        <v>150</v>
      </c>
      <c r="H444" s="344"/>
      <c r="I444" s="345"/>
      <c r="J444" s="336"/>
      <c r="K444" s="336"/>
      <c r="L444" s="336"/>
      <c r="M444" s="336"/>
      <c r="N444" s="336"/>
      <c r="O444" s="336"/>
      <c r="P444" s="336"/>
      <c r="Q444" s="337"/>
      <c r="R444" s="336"/>
      <c r="S444" s="336"/>
      <c r="T444" s="336"/>
      <c r="U444" s="336"/>
      <c r="V444" s="336"/>
      <c r="W444" s="62">
        <v>150</v>
      </c>
      <c r="X444" s="62">
        <f>G444-W444</f>
        <v>0</v>
      </c>
    </row>
    <row r="445" spans="1:24" s="307" customFormat="1" ht="15.75">
      <c r="A445" s="234" t="s">
        <v>125</v>
      </c>
      <c r="B445" s="54"/>
      <c r="C445" s="45" t="s">
        <v>129</v>
      </c>
      <c r="D445" s="45" t="s">
        <v>168</v>
      </c>
      <c r="E445" s="52"/>
      <c r="F445" s="57"/>
      <c r="G445" s="68">
        <f>G446+G458</f>
        <v>20506.6</v>
      </c>
      <c r="H445" s="336"/>
      <c r="I445" s="336"/>
      <c r="J445" s="336"/>
      <c r="K445" s="336"/>
      <c r="L445" s="336"/>
      <c r="M445" s="336"/>
      <c r="N445" s="336"/>
      <c r="O445" s="336"/>
      <c r="P445" s="336"/>
      <c r="Q445" s="337"/>
      <c r="R445" s="346">
        <f>G445</f>
        <v>20506.6</v>
      </c>
      <c r="S445" s="336"/>
      <c r="T445" s="336"/>
      <c r="U445" s="336"/>
      <c r="V445" s="336"/>
      <c r="W445" s="68">
        <f>W446+W458</f>
        <v>20506.645</v>
      </c>
      <c r="X445" s="68">
        <f>X446+X458</f>
        <v>-0.04500000000007276</v>
      </c>
    </row>
    <row r="446" spans="1:24" s="307" customFormat="1" ht="15.75">
      <c r="A446" s="258" t="s">
        <v>465</v>
      </c>
      <c r="B446" s="54"/>
      <c r="C446" s="45" t="s">
        <v>129</v>
      </c>
      <c r="D446" s="45" t="s">
        <v>168</v>
      </c>
      <c r="E446" s="52" t="s">
        <v>11</v>
      </c>
      <c r="F446" s="57"/>
      <c r="G446" s="68">
        <f>G447</f>
        <v>16292.4</v>
      </c>
      <c r="H446" s="336"/>
      <c r="I446" s="336"/>
      <c r="J446" s="336"/>
      <c r="K446" s="336"/>
      <c r="L446" s="336"/>
      <c r="M446" s="336"/>
      <c r="N446" s="336"/>
      <c r="O446" s="336"/>
      <c r="P446" s="336"/>
      <c r="Q446" s="337"/>
      <c r="R446" s="336"/>
      <c r="S446" s="336"/>
      <c r="T446" s="336"/>
      <c r="U446" s="336"/>
      <c r="V446" s="336"/>
      <c r="W446" s="68">
        <f>W447</f>
        <v>16292.4</v>
      </c>
      <c r="X446" s="68">
        <f>X447</f>
        <v>0</v>
      </c>
    </row>
    <row r="447" spans="1:24" s="307" customFormat="1" ht="31.5">
      <c r="A447" s="234" t="s">
        <v>548</v>
      </c>
      <c r="B447" s="54"/>
      <c r="C447" s="45" t="s">
        <v>129</v>
      </c>
      <c r="D447" s="45" t="s">
        <v>168</v>
      </c>
      <c r="E447" s="52" t="s">
        <v>377</v>
      </c>
      <c r="F447" s="57"/>
      <c r="G447" s="68">
        <f>G448+G453</f>
        <v>16292.4</v>
      </c>
      <c r="H447" s="336"/>
      <c r="I447" s="336"/>
      <c r="J447" s="336"/>
      <c r="K447" s="336"/>
      <c r="L447" s="336"/>
      <c r="M447" s="336"/>
      <c r="N447" s="336"/>
      <c r="O447" s="336"/>
      <c r="P447" s="336"/>
      <c r="Q447" s="337"/>
      <c r="R447" s="336"/>
      <c r="S447" s="336"/>
      <c r="T447" s="336"/>
      <c r="U447" s="336"/>
      <c r="V447" s="336"/>
      <c r="W447" s="68">
        <f>W448+W453</f>
        <v>16292.4</v>
      </c>
      <c r="X447" s="68">
        <f>X448+X453</f>
        <v>0</v>
      </c>
    </row>
    <row r="448" spans="1:24" s="307" customFormat="1" ht="15.75">
      <c r="A448" s="257" t="s">
        <v>108</v>
      </c>
      <c r="B448" s="47"/>
      <c r="C448" s="48" t="s">
        <v>129</v>
      </c>
      <c r="D448" s="48" t="s">
        <v>168</v>
      </c>
      <c r="E448" s="49" t="s">
        <v>376</v>
      </c>
      <c r="F448" s="56"/>
      <c r="G448" s="62">
        <f>G449+G451</f>
        <v>15892.4</v>
      </c>
      <c r="H448" s="336"/>
      <c r="I448" s="336"/>
      <c r="J448" s="336"/>
      <c r="K448" s="336"/>
      <c r="L448" s="336"/>
      <c r="M448" s="336"/>
      <c r="N448" s="336"/>
      <c r="O448" s="336"/>
      <c r="P448" s="336"/>
      <c r="Q448" s="337"/>
      <c r="R448" s="336"/>
      <c r="S448" s="336"/>
      <c r="T448" s="336"/>
      <c r="U448" s="336"/>
      <c r="V448" s="336"/>
      <c r="W448" s="62">
        <f>W449+W451</f>
        <v>15892.4</v>
      </c>
      <c r="X448" s="62">
        <f>X449+X451</f>
        <v>0</v>
      </c>
    </row>
    <row r="449" spans="1:24" s="307" customFormat="1" ht="47.25">
      <c r="A449" s="237" t="s">
        <v>116</v>
      </c>
      <c r="B449" s="47"/>
      <c r="C449" s="48" t="s">
        <v>129</v>
      </c>
      <c r="D449" s="48" t="s">
        <v>168</v>
      </c>
      <c r="E449" s="49" t="s">
        <v>376</v>
      </c>
      <c r="F449" s="56" t="s">
        <v>198</v>
      </c>
      <c r="G449" s="62">
        <f>G450</f>
        <v>15340.699999999999</v>
      </c>
      <c r="H449" s="336"/>
      <c r="I449" s="336"/>
      <c r="J449" s="336"/>
      <c r="K449" s="336"/>
      <c r="L449" s="336"/>
      <c r="M449" s="336"/>
      <c r="N449" s="336"/>
      <c r="O449" s="336"/>
      <c r="P449" s="336"/>
      <c r="Q449" s="337"/>
      <c r="R449" s="336"/>
      <c r="S449" s="336"/>
      <c r="T449" s="336"/>
      <c r="U449" s="336"/>
      <c r="V449" s="336"/>
      <c r="W449" s="62">
        <f>W450</f>
        <v>15340.699999999999</v>
      </c>
      <c r="X449" s="62">
        <f>X450</f>
        <v>0</v>
      </c>
    </row>
    <row r="450" spans="1:24" s="307" customFormat="1" ht="15.75">
      <c r="A450" s="272" t="s">
        <v>193</v>
      </c>
      <c r="B450" s="47"/>
      <c r="C450" s="48" t="s">
        <v>129</v>
      </c>
      <c r="D450" s="48" t="s">
        <v>168</v>
      </c>
      <c r="E450" s="49" t="s">
        <v>376</v>
      </c>
      <c r="F450" s="56" t="s">
        <v>194</v>
      </c>
      <c r="G450" s="62">
        <f>14461.3+879.4</f>
        <v>15340.699999999999</v>
      </c>
      <c r="H450" s="336"/>
      <c r="I450" s="336"/>
      <c r="J450" s="336"/>
      <c r="K450" s="336"/>
      <c r="L450" s="336"/>
      <c r="M450" s="336"/>
      <c r="N450" s="336"/>
      <c r="O450" s="336"/>
      <c r="P450" s="336"/>
      <c r="Q450" s="337"/>
      <c r="R450" s="336"/>
      <c r="S450" s="336"/>
      <c r="T450" s="336"/>
      <c r="U450" s="336"/>
      <c r="V450" s="336"/>
      <c r="W450" s="62">
        <f>14461.3+879.4</f>
        <v>15340.699999999999</v>
      </c>
      <c r="X450" s="62">
        <f>G450-W450</f>
        <v>0</v>
      </c>
    </row>
    <row r="451" spans="1:24" s="307" customFormat="1" ht="15.75">
      <c r="A451" s="237" t="s">
        <v>226</v>
      </c>
      <c r="B451" s="47"/>
      <c r="C451" s="48" t="s">
        <v>129</v>
      </c>
      <c r="D451" s="48" t="s">
        <v>168</v>
      </c>
      <c r="E451" s="49" t="s">
        <v>376</v>
      </c>
      <c r="F451" s="56" t="s">
        <v>188</v>
      </c>
      <c r="G451" s="62">
        <f>G452</f>
        <v>551.7</v>
      </c>
      <c r="H451" s="336"/>
      <c r="I451" s="336"/>
      <c r="J451" s="336"/>
      <c r="K451" s="336"/>
      <c r="L451" s="336"/>
      <c r="M451" s="336"/>
      <c r="N451" s="336"/>
      <c r="O451" s="336"/>
      <c r="P451" s="336"/>
      <c r="Q451" s="337"/>
      <c r="R451" s="336"/>
      <c r="S451" s="336"/>
      <c r="T451" s="336"/>
      <c r="U451" s="336"/>
      <c r="V451" s="336"/>
      <c r="W451" s="62">
        <f>W452</f>
        <v>551.7</v>
      </c>
      <c r="X451" s="62">
        <f>X452</f>
        <v>0</v>
      </c>
    </row>
    <row r="452" spans="1:24" s="307" customFormat="1" ht="15.75">
      <c r="A452" s="163" t="s">
        <v>189</v>
      </c>
      <c r="B452" s="47"/>
      <c r="C452" s="48" t="s">
        <v>129</v>
      </c>
      <c r="D452" s="48" t="s">
        <v>168</v>
      </c>
      <c r="E452" s="49" t="s">
        <v>376</v>
      </c>
      <c r="F452" s="56" t="s">
        <v>187</v>
      </c>
      <c r="G452" s="62">
        <v>551.7</v>
      </c>
      <c r="H452" s="336"/>
      <c r="I452" s="336"/>
      <c r="J452" s="336"/>
      <c r="K452" s="336"/>
      <c r="L452" s="336"/>
      <c r="M452" s="336"/>
      <c r="N452" s="336"/>
      <c r="O452" s="336"/>
      <c r="P452" s="336"/>
      <c r="Q452" s="337"/>
      <c r="R452" s="336"/>
      <c r="S452" s="336"/>
      <c r="T452" s="336"/>
      <c r="U452" s="336"/>
      <c r="V452" s="336"/>
      <c r="W452" s="62">
        <v>551.7</v>
      </c>
      <c r="X452" s="62">
        <f>G452-W452</f>
        <v>0</v>
      </c>
    </row>
    <row r="453" spans="1:24" s="307" customFormat="1" ht="15.75">
      <c r="A453" s="273" t="s">
        <v>105</v>
      </c>
      <c r="B453" s="47"/>
      <c r="C453" s="48" t="s">
        <v>129</v>
      </c>
      <c r="D453" s="48" t="s">
        <v>168</v>
      </c>
      <c r="E453" s="49" t="s">
        <v>378</v>
      </c>
      <c r="F453" s="56"/>
      <c r="G453" s="70">
        <f>G454+G456</f>
        <v>400</v>
      </c>
      <c r="H453" s="336"/>
      <c r="I453" s="336"/>
      <c r="J453" s="336"/>
      <c r="K453" s="336"/>
      <c r="L453" s="336"/>
      <c r="M453" s="336"/>
      <c r="N453" s="336"/>
      <c r="O453" s="336"/>
      <c r="P453" s="336"/>
      <c r="Q453" s="337"/>
      <c r="R453" s="336"/>
      <c r="S453" s="336"/>
      <c r="T453" s="336"/>
      <c r="U453" s="336"/>
      <c r="V453" s="336"/>
      <c r="W453" s="70">
        <f>W454+W456</f>
        <v>400</v>
      </c>
      <c r="X453" s="70">
        <f>X454+X456</f>
        <v>0</v>
      </c>
    </row>
    <row r="454" spans="1:24" s="307" customFormat="1" ht="47.25">
      <c r="A454" s="237" t="s">
        <v>116</v>
      </c>
      <c r="B454" s="47"/>
      <c r="C454" s="48" t="s">
        <v>129</v>
      </c>
      <c r="D454" s="48" t="s">
        <v>168</v>
      </c>
      <c r="E454" s="49" t="s">
        <v>378</v>
      </c>
      <c r="F454" s="56" t="s">
        <v>198</v>
      </c>
      <c r="G454" s="70">
        <f>G455</f>
        <v>300</v>
      </c>
      <c r="H454" s="336"/>
      <c r="I454" s="336"/>
      <c r="J454" s="336"/>
      <c r="K454" s="336"/>
      <c r="L454" s="336"/>
      <c r="M454" s="336"/>
      <c r="N454" s="336"/>
      <c r="O454" s="336"/>
      <c r="P454" s="336"/>
      <c r="Q454" s="337"/>
      <c r="R454" s="336"/>
      <c r="S454" s="336"/>
      <c r="T454" s="336"/>
      <c r="U454" s="336"/>
      <c r="V454" s="336"/>
      <c r="W454" s="70">
        <f>W455</f>
        <v>300</v>
      </c>
      <c r="X454" s="70">
        <f>X455</f>
        <v>0</v>
      </c>
    </row>
    <row r="455" spans="1:24" s="307" customFormat="1" ht="15.75">
      <c r="A455" s="272" t="s">
        <v>193</v>
      </c>
      <c r="B455" s="47"/>
      <c r="C455" s="48" t="s">
        <v>129</v>
      </c>
      <c r="D455" s="48" t="s">
        <v>168</v>
      </c>
      <c r="E455" s="49" t="s">
        <v>378</v>
      </c>
      <c r="F455" s="56" t="s">
        <v>194</v>
      </c>
      <c r="G455" s="70">
        <v>300</v>
      </c>
      <c r="H455" s="336"/>
      <c r="I455" s="336"/>
      <c r="J455" s="336"/>
      <c r="K455" s="336"/>
      <c r="L455" s="336"/>
      <c r="M455" s="336"/>
      <c r="N455" s="336"/>
      <c r="O455" s="336"/>
      <c r="P455" s="336"/>
      <c r="Q455" s="337"/>
      <c r="R455" s="336"/>
      <c r="S455" s="336"/>
      <c r="T455" s="336"/>
      <c r="U455" s="336"/>
      <c r="V455" s="336"/>
      <c r="W455" s="70">
        <v>300</v>
      </c>
      <c r="X455" s="62">
        <f>G455-W455</f>
        <v>0</v>
      </c>
    </row>
    <row r="456" spans="1:24" s="307" customFormat="1" ht="15.75">
      <c r="A456" s="237" t="s">
        <v>226</v>
      </c>
      <c r="B456" s="47"/>
      <c r="C456" s="48" t="s">
        <v>129</v>
      </c>
      <c r="D456" s="48" t="s">
        <v>168</v>
      </c>
      <c r="E456" s="49" t="s">
        <v>378</v>
      </c>
      <c r="F456" s="56" t="s">
        <v>188</v>
      </c>
      <c r="G456" s="70">
        <f>G457</f>
        <v>100</v>
      </c>
      <c r="H456" s="336"/>
      <c r="I456" s="336"/>
      <c r="J456" s="336"/>
      <c r="K456" s="336"/>
      <c r="L456" s="336"/>
      <c r="M456" s="336"/>
      <c r="N456" s="336"/>
      <c r="O456" s="336"/>
      <c r="P456" s="336"/>
      <c r="Q456" s="337"/>
      <c r="R456" s="336"/>
      <c r="S456" s="336"/>
      <c r="T456" s="336"/>
      <c r="U456" s="336"/>
      <c r="V456" s="336"/>
      <c r="W456" s="70">
        <f>W457</f>
        <v>100</v>
      </c>
      <c r="X456" s="70">
        <f>X457</f>
        <v>0</v>
      </c>
    </row>
    <row r="457" spans="1:24" s="307" customFormat="1" ht="15.75">
      <c r="A457" s="257" t="s">
        <v>189</v>
      </c>
      <c r="B457" s="47"/>
      <c r="C457" s="48" t="s">
        <v>129</v>
      </c>
      <c r="D457" s="48" t="s">
        <v>168</v>
      </c>
      <c r="E457" s="49" t="s">
        <v>378</v>
      </c>
      <c r="F457" s="56" t="s">
        <v>187</v>
      </c>
      <c r="G457" s="70">
        <v>100</v>
      </c>
      <c r="H457" s="336"/>
      <c r="I457" s="336"/>
      <c r="J457" s="336"/>
      <c r="K457" s="336"/>
      <c r="L457" s="336"/>
      <c r="M457" s="336"/>
      <c r="N457" s="336"/>
      <c r="O457" s="336"/>
      <c r="P457" s="336"/>
      <c r="Q457" s="337"/>
      <c r="R457" s="336"/>
      <c r="S457" s="336"/>
      <c r="T457" s="336"/>
      <c r="U457" s="336"/>
      <c r="V457" s="336"/>
      <c r="W457" s="70">
        <v>100</v>
      </c>
      <c r="X457" s="62">
        <f>G457-W457</f>
        <v>0</v>
      </c>
    </row>
    <row r="458" spans="1:24" s="307" customFormat="1" ht="18.75" customHeight="1">
      <c r="A458" s="252" t="s">
        <v>469</v>
      </c>
      <c r="B458" s="51"/>
      <c r="C458" s="45" t="s">
        <v>129</v>
      </c>
      <c r="D458" s="45" t="s">
        <v>168</v>
      </c>
      <c r="E458" s="52" t="s">
        <v>236</v>
      </c>
      <c r="F458" s="57"/>
      <c r="G458" s="68">
        <f>G459+G466</f>
        <v>4214.2</v>
      </c>
      <c r="H458" s="336"/>
      <c r="I458" s="336"/>
      <c r="J458" s="336"/>
      <c r="K458" s="336"/>
      <c r="L458" s="336"/>
      <c r="M458" s="336"/>
      <c r="N458" s="336"/>
      <c r="O458" s="336"/>
      <c r="P458" s="336"/>
      <c r="Q458" s="337"/>
      <c r="R458" s="336"/>
      <c r="S458" s="336"/>
      <c r="T458" s="336"/>
      <c r="U458" s="336"/>
      <c r="V458" s="336"/>
      <c r="W458" s="68">
        <f>W459+W466</f>
        <v>4214.245</v>
      </c>
      <c r="X458" s="68">
        <f>X459+X466</f>
        <v>-0.04500000000007276</v>
      </c>
    </row>
    <row r="459" spans="1:24" s="307" customFormat="1" ht="19.5" customHeight="1">
      <c r="A459" s="269" t="s">
        <v>201</v>
      </c>
      <c r="B459" s="51"/>
      <c r="C459" s="45" t="s">
        <v>129</v>
      </c>
      <c r="D459" s="45" t="s">
        <v>168</v>
      </c>
      <c r="E459" s="52" t="s">
        <v>237</v>
      </c>
      <c r="F459" s="57"/>
      <c r="G459" s="58">
        <f>G460+G463</f>
        <v>3164.2</v>
      </c>
      <c r="H459" s="336"/>
      <c r="I459" s="336"/>
      <c r="J459" s="336"/>
      <c r="K459" s="336"/>
      <c r="L459" s="336"/>
      <c r="M459" s="336"/>
      <c r="N459" s="336"/>
      <c r="O459" s="336"/>
      <c r="P459" s="336"/>
      <c r="Q459" s="337"/>
      <c r="R459" s="336"/>
      <c r="S459" s="336"/>
      <c r="T459" s="336"/>
      <c r="U459" s="336"/>
      <c r="V459" s="336"/>
      <c r="W459" s="58">
        <f>W460+W463</f>
        <v>3164.245</v>
      </c>
      <c r="X459" s="58">
        <f>X460+X463</f>
        <v>-0.04500000000007276</v>
      </c>
    </row>
    <row r="460" spans="1:24" s="307" customFormat="1" ht="15.75">
      <c r="A460" s="238" t="s">
        <v>107</v>
      </c>
      <c r="B460" s="51"/>
      <c r="C460" s="48" t="s">
        <v>129</v>
      </c>
      <c r="D460" s="48" t="s">
        <v>168</v>
      </c>
      <c r="E460" s="49" t="s">
        <v>238</v>
      </c>
      <c r="F460" s="56"/>
      <c r="G460" s="62">
        <f>G461</f>
        <v>182.5</v>
      </c>
      <c r="H460" s="336"/>
      <c r="I460" s="336"/>
      <c r="J460" s="336"/>
      <c r="K460" s="336"/>
      <c r="L460" s="336"/>
      <c r="M460" s="336"/>
      <c r="N460" s="336"/>
      <c r="O460" s="336"/>
      <c r="P460" s="336"/>
      <c r="Q460" s="337"/>
      <c r="R460" s="336"/>
      <c r="S460" s="336"/>
      <c r="T460" s="336"/>
      <c r="U460" s="336"/>
      <c r="V460" s="336"/>
      <c r="W460" s="62">
        <f>W461</f>
        <v>182.5</v>
      </c>
      <c r="X460" s="62">
        <f>X461</f>
        <v>0</v>
      </c>
    </row>
    <row r="461" spans="1:24" s="307" customFormat="1" ht="31.5">
      <c r="A461" s="163" t="s">
        <v>190</v>
      </c>
      <c r="B461" s="51"/>
      <c r="C461" s="48" t="s">
        <v>129</v>
      </c>
      <c r="D461" s="48" t="s">
        <v>168</v>
      </c>
      <c r="E461" s="49" t="s">
        <v>238</v>
      </c>
      <c r="F461" s="56" t="s">
        <v>178</v>
      </c>
      <c r="G461" s="62">
        <f>G462</f>
        <v>182.5</v>
      </c>
      <c r="H461" s="336"/>
      <c r="I461" s="336"/>
      <c r="J461" s="336"/>
      <c r="K461" s="336"/>
      <c r="L461" s="336"/>
      <c r="M461" s="336"/>
      <c r="N461" s="336"/>
      <c r="O461" s="336"/>
      <c r="P461" s="336"/>
      <c r="Q461" s="337"/>
      <c r="R461" s="336"/>
      <c r="S461" s="336"/>
      <c r="T461" s="336"/>
      <c r="U461" s="336"/>
      <c r="V461" s="336"/>
      <c r="W461" s="62">
        <f>W462</f>
        <v>182.5</v>
      </c>
      <c r="X461" s="62">
        <f>X462</f>
        <v>0</v>
      </c>
    </row>
    <row r="462" spans="1:24" s="307" customFormat="1" ht="18" customHeight="1">
      <c r="A462" s="253" t="s">
        <v>191</v>
      </c>
      <c r="B462" s="51"/>
      <c r="C462" s="48" t="s">
        <v>129</v>
      </c>
      <c r="D462" s="48" t="s">
        <v>168</v>
      </c>
      <c r="E462" s="49" t="s">
        <v>238</v>
      </c>
      <c r="F462" s="56" t="s">
        <v>192</v>
      </c>
      <c r="G462" s="62">
        <v>182.5</v>
      </c>
      <c r="H462" s="336"/>
      <c r="I462" s="336"/>
      <c r="J462" s="336"/>
      <c r="K462" s="336"/>
      <c r="L462" s="336"/>
      <c r="M462" s="336"/>
      <c r="N462" s="336"/>
      <c r="O462" s="336"/>
      <c r="P462" s="336"/>
      <c r="Q462" s="337"/>
      <c r="R462" s="336"/>
      <c r="S462" s="336"/>
      <c r="T462" s="336"/>
      <c r="U462" s="336"/>
      <c r="V462" s="336"/>
      <c r="W462" s="62">
        <v>182.5</v>
      </c>
      <c r="X462" s="62">
        <f>G462-W462</f>
        <v>0</v>
      </c>
    </row>
    <row r="463" spans="1:24" s="307" customFormat="1" ht="47.25">
      <c r="A463" s="236" t="s">
        <v>468</v>
      </c>
      <c r="B463" s="51"/>
      <c r="C463" s="48" t="s">
        <v>129</v>
      </c>
      <c r="D463" s="48" t="s">
        <v>168</v>
      </c>
      <c r="E463" s="49" t="s">
        <v>242</v>
      </c>
      <c r="F463" s="56"/>
      <c r="G463" s="62">
        <f>G464</f>
        <v>2981.7</v>
      </c>
      <c r="H463" s="336"/>
      <c r="I463" s="336"/>
      <c r="J463" s="336"/>
      <c r="K463" s="336"/>
      <c r="L463" s="336"/>
      <c r="M463" s="336"/>
      <c r="N463" s="336"/>
      <c r="O463" s="336"/>
      <c r="P463" s="336"/>
      <c r="Q463" s="337"/>
      <c r="R463" s="336"/>
      <c r="S463" s="336"/>
      <c r="T463" s="336"/>
      <c r="U463" s="336"/>
      <c r="V463" s="336"/>
      <c r="W463" s="62">
        <f>W464</f>
        <v>2981.745</v>
      </c>
      <c r="X463" s="62">
        <f>X464</f>
        <v>-0.04500000000007276</v>
      </c>
    </row>
    <row r="464" spans="1:24" s="307" customFormat="1" ht="31.5">
      <c r="A464" s="163" t="s">
        <v>190</v>
      </c>
      <c r="B464" s="51"/>
      <c r="C464" s="48" t="s">
        <v>129</v>
      </c>
      <c r="D464" s="48" t="s">
        <v>168</v>
      </c>
      <c r="E464" s="49" t="s">
        <v>242</v>
      </c>
      <c r="F464" s="56" t="s">
        <v>178</v>
      </c>
      <c r="G464" s="62">
        <f>SUM(G465:G465)</f>
        <v>2981.7</v>
      </c>
      <c r="H464" s="336"/>
      <c r="I464" s="336"/>
      <c r="J464" s="336"/>
      <c r="K464" s="336"/>
      <c r="L464" s="336"/>
      <c r="M464" s="336"/>
      <c r="N464" s="336"/>
      <c r="O464" s="336"/>
      <c r="P464" s="336"/>
      <c r="Q464" s="337"/>
      <c r="R464" s="336"/>
      <c r="S464" s="336"/>
      <c r="T464" s="336"/>
      <c r="U464" s="336"/>
      <c r="V464" s="336"/>
      <c r="W464" s="62">
        <f>SUM(W465:W465)</f>
        <v>2981.745</v>
      </c>
      <c r="X464" s="62">
        <f>SUM(X465:X465)</f>
        <v>-0.04500000000007276</v>
      </c>
    </row>
    <row r="465" spans="1:24" s="307" customFormat="1" ht="15.75">
      <c r="A465" s="253" t="s">
        <v>191</v>
      </c>
      <c r="B465" s="51"/>
      <c r="C465" s="48" t="s">
        <v>129</v>
      </c>
      <c r="D465" s="48" t="s">
        <v>168</v>
      </c>
      <c r="E465" s="49" t="s">
        <v>242</v>
      </c>
      <c r="F465" s="56" t="s">
        <v>192</v>
      </c>
      <c r="G465" s="62">
        <v>2981.7</v>
      </c>
      <c r="H465" s="336"/>
      <c r="I465" s="336"/>
      <c r="J465" s="336"/>
      <c r="K465" s="336"/>
      <c r="L465" s="336"/>
      <c r="M465" s="336"/>
      <c r="N465" s="336"/>
      <c r="O465" s="336"/>
      <c r="P465" s="336"/>
      <c r="Q465" s="337"/>
      <c r="R465" s="336"/>
      <c r="S465" s="336"/>
      <c r="T465" s="336"/>
      <c r="U465" s="336"/>
      <c r="V465" s="336"/>
      <c r="W465" s="62">
        <v>2981.745</v>
      </c>
      <c r="X465" s="62">
        <f>G465-W465</f>
        <v>-0.04500000000007276</v>
      </c>
    </row>
    <row r="466" spans="1:24" s="307" customFormat="1" ht="31.5">
      <c r="A466" s="271" t="s">
        <v>551</v>
      </c>
      <c r="B466" s="51"/>
      <c r="C466" s="45" t="s">
        <v>129</v>
      </c>
      <c r="D466" s="45" t="s">
        <v>168</v>
      </c>
      <c r="E466" s="52" t="s">
        <v>239</v>
      </c>
      <c r="F466" s="57"/>
      <c r="G466" s="68">
        <f>G467+G470+G473</f>
        <v>1050</v>
      </c>
      <c r="H466" s="336"/>
      <c r="I466" s="336"/>
      <c r="J466" s="336"/>
      <c r="K466" s="336"/>
      <c r="L466" s="336"/>
      <c r="M466" s="336"/>
      <c r="N466" s="336"/>
      <c r="O466" s="336"/>
      <c r="P466" s="336"/>
      <c r="Q466" s="337"/>
      <c r="R466" s="336"/>
      <c r="S466" s="336"/>
      <c r="T466" s="336"/>
      <c r="U466" s="336"/>
      <c r="V466" s="336"/>
      <c r="W466" s="68">
        <f>W467+W470+W473</f>
        <v>1050</v>
      </c>
      <c r="X466" s="68">
        <f>X467+X470+X473</f>
        <v>0</v>
      </c>
    </row>
    <row r="467" spans="1:24" s="307" customFormat="1" ht="15.75">
      <c r="A467" s="253" t="s">
        <v>266</v>
      </c>
      <c r="B467" s="47"/>
      <c r="C467" s="48" t="s">
        <v>129</v>
      </c>
      <c r="D467" s="48" t="s">
        <v>168</v>
      </c>
      <c r="E467" s="49" t="s">
        <v>284</v>
      </c>
      <c r="F467" s="56"/>
      <c r="G467" s="62">
        <f>G468</f>
        <v>500</v>
      </c>
      <c r="H467" s="336"/>
      <c r="I467" s="336"/>
      <c r="J467" s="336"/>
      <c r="K467" s="336"/>
      <c r="L467" s="336"/>
      <c r="M467" s="336"/>
      <c r="N467" s="336"/>
      <c r="O467" s="336"/>
      <c r="P467" s="336"/>
      <c r="Q467" s="337"/>
      <c r="R467" s="336"/>
      <c r="S467" s="336"/>
      <c r="T467" s="336"/>
      <c r="U467" s="336"/>
      <c r="V467" s="336"/>
      <c r="W467" s="62">
        <f>W468</f>
        <v>500</v>
      </c>
      <c r="X467" s="62">
        <f>X468</f>
        <v>0</v>
      </c>
    </row>
    <row r="468" spans="1:24" s="307" customFormat="1" ht="31.5">
      <c r="A468" s="163" t="s">
        <v>190</v>
      </c>
      <c r="B468" s="47"/>
      <c r="C468" s="48" t="s">
        <v>129</v>
      </c>
      <c r="D468" s="48" t="s">
        <v>168</v>
      </c>
      <c r="E468" s="49" t="s">
        <v>284</v>
      </c>
      <c r="F468" s="56" t="s">
        <v>178</v>
      </c>
      <c r="G468" s="62">
        <f>G469</f>
        <v>500</v>
      </c>
      <c r="H468" s="336"/>
      <c r="I468" s="336"/>
      <c r="J468" s="336"/>
      <c r="K468" s="336"/>
      <c r="L468" s="336"/>
      <c r="M468" s="336"/>
      <c r="N468" s="336"/>
      <c r="O468" s="336"/>
      <c r="P468" s="336"/>
      <c r="Q468" s="337"/>
      <c r="R468" s="336"/>
      <c r="S468" s="336"/>
      <c r="T468" s="336"/>
      <c r="U468" s="336"/>
      <c r="V468" s="336"/>
      <c r="W468" s="62">
        <f>W469</f>
        <v>500</v>
      </c>
      <c r="X468" s="62">
        <f>X469</f>
        <v>0</v>
      </c>
    </row>
    <row r="469" spans="1:24" s="307" customFormat="1" ht="15.75">
      <c r="A469" s="253" t="s">
        <v>197</v>
      </c>
      <c r="B469" s="47"/>
      <c r="C469" s="48" t="s">
        <v>129</v>
      </c>
      <c r="D469" s="48" t="s">
        <v>168</v>
      </c>
      <c r="E469" s="49" t="s">
        <v>284</v>
      </c>
      <c r="F469" s="56" t="s">
        <v>196</v>
      </c>
      <c r="G469" s="62">
        <v>500</v>
      </c>
      <c r="H469" s="336"/>
      <c r="I469" s="336"/>
      <c r="J469" s="336"/>
      <c r="K469" s="336"/>
      <c r="L469" s="336"/>
      <c r="M469" s="336"/>
      <c r="N469" s="336"/>
      <c r="O469" s="336"/>
      <c r="P469" s="336"/>
      <c r="Q469" s="337"/>
      <c r="R469" s="336"/>
      <c r="S469" s="336"/>
      <c r="T469" s="336"/>
      <c r="U469" s="336"/>
      <c r="V469" s="336"/>
      <c r="W469" s="62">
        <v>500</v>
      </c>
      <c r="X469" s="62">
        <f>G469-W469</f>
        <v>0</v>
      </c>
    </row>
    <row r="470" spans="1:24" s="307" customFormat="1" ht="15.75">
      <c r="A470" s="257" t="s">
        <v>268</v>
      </c>
      <c r="B470" s="47"/>
      <c r="C470" s="48" t="s">
        <v>129</v>
      </c>
      <c r="D470" s="48" t="s">
        <v>168</v>
      </c>
      <c r="E470" s="49" t="s">
        <v>283</v>
      </c>
      <c r="F470" s="56"/>
      <c r="G470" s="62">
        <f>G471</f>
        <v>450</v>
      </c>
      <c r="H470" s="336"/>
      <c r="I470" s="336"/>
      <c r="J470" s="336"/>
      <c r="K470" s="336"/>
      <c r="L470" s="336"/>
      <c r="M470" s="336"/>
      <c r="N470" s="336"/>
      <c r="O470" s="336"/>
      <c r="P470" s="336"/>
      <c r="Q470" s="337"/>
      <c r="R470" s="336"/>
      <c r="S470" s="336"/>
      <c r="T470" s="336"/>
      <c r="U470" s="336"/>
      <c r="V470" s="336"/>
      <c r="W470" s="62">
        <f>W471</f>
        <v>450</v>
      </c>
      <c r="X470" s="62">
        <f>X471</f>
        <v>0</v>
      </c>
    </row>
    <row r="471" spans="1:24" s="307" customFormat="1" ht="31.5">
      <c r="A471" s="163" t="s">
        <v>190</v>
      </c>
      <c r="B471" s="47"/>
      <c r="C471" s="48" t="s">
        <v>129</v>
      </c>
      <c r="D471" s="48" t="s">
        <v>168</v>
      </c>
      <c r="E471" s="49" t="s">
        <v>283</v>
      </c>
      <c r="F471" s="56" t="s">
        <v>178</v>
      </c>
      <c r="G471" s="62">
        <f>G472</f>
        <v>450</v>
      </c>
      <c r="H471" s="336"/>
      <c r="I471" s="336"/>
      <c r="J471" s="336"/>
      <c r="K471" s="336"/>
      <c r="L471" s="336"/>
      <c r="M471" s="336"/>
      <c r="N471" s="336"/>
      <c r="O471" s="336"/>
      <c r="P471" s="336"/>
      <c r="Q471" s="337"/>
      <c r="R471" s="336"/>
      <c r="S471" s="336"/>
      <c r="T471" s="336"/>
      <c r="U471" s="336"/>
      <c r="V471" s="336"/>
      <c r="W471" s="62">
        <f>W472</f>
        <v>450</v>
      </c>
      <c r="X471" s="62">
        <f>X472</f>
        <v>0</v>
      </c>
    </row>
    <row r="472" spans="1:24" s="307" customFormat="1" ht="15.75">
      <c r="A472" s="253" t="s">
        <v>197</v>
      </c>
      <c r="B472" s="47"/>
      <c r="C472" s="48" t="s">
        <v>129</v>
      </c>
      <c r="D472" s="48" t="s">
        <v>168</v>
      </c>
      <c r="E472" s="49" t="s">
        <v>283</v>
      </c>
      <c r="F472" s="56" t="s">
        <v>196</v>
      </c>
      <c r="G472" s="62">
        <v>450</v>
      </c>
      <c r="H472" s="336"/>
      <c r="I472" s="336"/>
      <c r="J472" s="336"/>
      <c r="K472" s="336"/>
      <c r="L472" s="336"/>
      <c r="M472" s="336"/>
      <c r="N472" s="336"/>
      <c r="O472" s="336"/>
      <c r="P472" s="336"/>
      <c r="Q472" s="337"/>
      <c r="R472" s="336"/>
      <c r="S472" s="336"/>
      <c r="T472" s="336"/>
      <c r="U472" s="336"/>
      <c r="V472" s="336"/>
      <c r="W472" s="62">
        <v>450</v>
      </c>
      <c r="X472" s="62">
        <f>G472-W472</f>
        <v>0</v>
      </c>
    </row>
    <row r="473" spans="1:24" s="307" customFormat="1" ht="15.75">
      <c r="A473" s="257" t="s">
        <v>269</v>
      </c>
      <c r="B473" s="47"/>
      <c r="C473" s="48" t="s">
        <v>129</v>
      </c>
      <c r="D473" s="48" t="s">
        <v>168</v>
      </c>
      <c r="E473" s="49" t="s">
        <v>360</v>
      </c>
      <c r="F473" s="56"/>
      <c r="G473" s="62">
        <f>G474</f>
        <v>100</v>
      </c>
      <c r="H473" s="336"/>
      <c r="I473" s="336"/>
      <c r="J473" s="336"/>
      <c r="K473" s="336"/>
      <c r="L473" s="336"/>
      <c r="M473" s="336"/>
      <c r="N473" s="336"/>
      <c r="O473" s="336"/>
      <c r="P473" s="336"/>
      <c r="Q473" s="337"/>
      <c r="R473" s="336"/>
      <c r="S473" s="336"/>
      <c r="T473" s="336"/>
      <c r="U473" s="336"/>
      <c r="V473" s="336"/>
      <c r="W473" s="62">
        <f>W474</f>
        <v>100</v>
      </c>
      <c r="X473" s="62">
        <f>X474</f>
        <v>0</v>
      </c>
    </row>
    <row r="474" spans="1:24" s="307" customFormat="1" ht="31.5">
      <c r="A474" s="163" t="s">
        <v>190</v>
      </c>
      <c r="B474" s="47"/>
      <c r="C474" s="48" t="s">
        <v>129</v>
      </c>
      <c r="D474" s="48" t="s">
        <v>168</v>
      </c>
      <c r="E474" s="49" t="s">
        <v>360</v>
      </c>
      <c r="F474" s="56" t="s">
        <v>178</v>
      </c>
      <c r="G474" s="62">
        <f>G475</f>
        <v>100</v>
      </c>
      <c r="H474" s="336"/>
      <c r="I474" s="336"/>
      <c r="J474" s="336"/>
      <c r="K474" s="336"/>
      <c r="L474" s="336"/>
      <c r="M474" s="336"/>
      <c r="N474" s="336"/>
      <c r="O474" s="336"/>
      <c r="P474" s="336"/>
      <c r="Q474" s="337"/>
      <c r="R474" s="336"/>
      <c r="S474" s="336"/>
      <c r="T474" s="336"/>
      <c r="U474" s="336"/>
      <c r="V474" s="336"/>
      <c r="W474" s="62">
        <f>W475</f>
        <v>100</v>
      </c>
      <c r="X474" s="62">
        <f>X475</f>
        <v>0</v>
      </c>
    </row>
    <row r="475" spans="1:24" s="307" customFormat="1" ht="15.75">
      <c r="A475" s="253" t="s">
        <v>197</v>
      </c>
      <c r="B475" s="47"/>
      <c r="C475" s="48" t="s">
        <v>129</v>
      </c>
      <c r="D475" s="48" t="s">
        <v>168</v>
      </c>
      <c r="E475" s="49" t="s">
        <v>360</v>
      </c>
      <c r="F475" s="56" t="s">
        <v>196</v>
      </c>
      <c r="G475" s="62">
        <v>100</v>
      </c>
      <c r="H475" s="336"/>
      <c r="I475" s="336"/>
      <c r="J475" s="336"/>
      <c r="K475" s="336"/>
      <c r="L475" s="336"/>
      <c r="M475" s="336"/>
      <c r="N475" s="336"/>
      <c r="O475" s="336"/>
      <c r="P475" s="336"/>
      <c r="Q475" s="337"/>
      <c r="R475" s="336"/>
      <c r="S475" s="336"/>
      <c r="T475" s="336"/>
      <c r="U475" s="336"/>
      <c r="V475" s="336"/>
      <c r="W475" s="62">
        <v>100</v>
      </c>
      <c r="X475" s="62">
        <f>G475-W475</f>
        <v>0</v>
      </c>
    </row>
    <row r="476" spans="1:24" s="307" customFormat="1" ht="15.75">
      <c r="A476" s="234" t="s">
        <v>155</v>
      </c>
      <c r="B476" s="47"/>
      <c r="C476" s="45" t="s">
        <v>127</v>
      </c>
      <c r="D476" s="48"/>
      <c r="E476" s="49"/>
      <c r="F476" s="56"/>
      <c r="G476" s="58">
        <f>G477</f>
        <v>29705.888</v>
      </c>
      <c r="H476" s="336"/>
      <c r="I476" s="336"/>
      <c r="J476" s="336"/>
      <c r="K476" s="336"/>
      <c r="L476" s="336"/>
      <c r="M476" s="336"/>
      <c r="N476" s="336"/>
      <c r="O476" s="336"/>
      <c r="P476" s="336"/>
      <c r="Q476" s="337"/>
      <c r="R476" s="336"/>
      <c r="S476" s="336"/>
      <c r="T476" s="336"/>
      <c r="U476" s="336"/>
      <c r="V476" s="336"/>
      <c r="W476" s="58">
        <f>W477</f>
        <v>29705.59</v>
      </c>
      <c r="X476" s="58">
        <f aca="true" t="shared" si="37" ref="X476:X484">X477</f>
        <v>0.2980000000017462</v>
      </c>
    </row>
    <row r="477" spans="1:24" s="307" customFormat="1" ht="15.75">
      <c r="A477" s="234" t="s">
        <v>159</v>
      </c>
      <c r="B477" s="45"/>
      <c r="C477" s="45" t="s">
        <v>127</v>
      </c>
      <c r="D477" s="45" t="s">
        <v>170</v>
      </c>
      <c r="E477" s="52"/>
      <c r="F477" s="57"/>
      <c r="G477" s="58">
        <f>G478</f>
        <v>29705.888</v>
      </c>
      <c r="H477" s="336"/>
      <c r="I477" s="336"/>
      <c r="J477" s="336"/>
      <c r="K477" s="336"/>
      <c r="L477" s="336"/>
      <c r="M477" s="336"/>
      <c r="N477" s="336"/>
      <c r="O477" s="336"/>
      <c r="P477" s="336"/>
      <c r="Q477" s="337"/>
      <c r="R477" s="346">
        <f>G477+G691+G809</f>
        <v>36097.488</v>
      </c>
      <c r="S477" s="336"/>
      <c r="T477" s="336"/>
      <c r="U477" s="336"/>
      <c r="V477" s="336"/>
      <c r="W477" s="58">
        <f>W478</f>
        <v>29705.59</v>
      </c>
      <c r="X477" s="58">
        <f>X478</f>
        <v>0.2980000000017462</v>
      </c>
    </row>
    <row r="478" spans="1:24" s="307" customFormat="1" ht="15.75">
      <c r="A478" s="234" t="s">
        <v>465</v>
      </c>
      <c r="B478" s="54"/>
      <c r="C478" s="45" t="s">
        <v>127</v>
      </c>
      <c r="D478" s="45" t="s">
        <v>170</v>
      </c>
      <c r="E478" s="52" t="s">
        <v>11</v>
      </c>
      <c r="F478" s="57"/>
      <c r="G478" s="58">
        <f>G479+G486</f>
        <v>29705.888</v>
      </c>
      <c r="H478" s="336"/>
      <c r="I478" s="336"/>
      <c r="J478" s="336"/>
      <c r="K478" s="336"/>
      <c r="L478" s="336"/>
      <c r="M478" s="336"/>
      <c r="N478" s="336"/>
      <c r="O478" s="336"/>
      <c r="P478" s="336"/>
      <c r="Q478" s="337"/>
      <c r="R478" s="336"/>
      <c r="S478" s="336"/>
      <c r="T478" s="336"/>
      <c r="U478" s="336"/>
      <c r="V478" s="336"/>
      <c r="W478" s="58">
        <f>W479+W486</f>
        <v>29705.59</v>
      </c>
      <c r="X478" s="58">
        <f>X479+X486</f>
        <v>0.2980000000017462</v>
      </c>
    </row>
    <row r="479" spans="1:24" s="307" customFormat="1" ht="31.5">
      <c r="A479" s="234" t="s">
        <v>544</v>
      </c>
      <c r="B479" s="45"/>
      <c r="C479" s="45" t="s">
        <v>127</v>
      </c>
      <c r="D479" s="45" t="s">
        <v>170</v>
      </c>
      <c r="E479" s="52" t="s">
        <v>12</v>
      </c>
      <c r="F479" s="57"/>
      <c r="G479" s="58">
        <f>G480+G483</f>
        <v>8310.47</v>
      </c>
      <c r="H479" s="58">
        <f aca="true" t="shared" si="38" ref="H479:X479">H480+H483</f>
        <v>0</v>
      </c>
      <c r="I479" s="58">
        <f t="shared" si="38"/>
        <v>0</v>
      </c>
      <c r="J479" s="58">
        <f t="shared" si="38"/>
        <v>0</v>
      </c>
      <c r="K479" s="58">
        <f t="shared" si="38"/>
        <v>0</v>
      </c>
      <c r="L479" s="58">
        <f t="shared" si="38"/>
        <v>0</v>
      </c>
      <c r="M479" s="58">
        <f t="shared" si="38"/>
        <v>0</v>
      </c>
      <c r="N479" s="58">
        <f t="shared" si="38"/>
        <v>0</v>
      </c>
      <c r="O479" s="58">
        <f t="shared" si="38"/>
        <v>0</v>
      </c>
      <c r="P479" s="58">
        <f t="shared" si="38"/>
        <v>0</v>
      </c>
      <c r="Q479" s="58">
        <f t="shared" si="38"/>
        <v>0</v>
      </c>
      <c r="R479" s="58">
        <f t="shared" si="38"/>
        <v>0</v>
      </c>
      <c r="S479" s="58">
        <f t="shared" si="38"/>
        <v>0</v>
      </c>
      <c r="T479" s="58">
        <f t="shared" si="38"/>
        <v>0</v>
      </c>
      <c r="U479" s="58">
        <f t="shared" si="38"/>
        <v>0</v>
      </c>
      <c r="V479" s="58">
        <f t="shared" si="38"/>
        <v>0</v>
      </c>
      <c r="W479" s="58">
        <f>W480+W483</f>
        <v>8310.5</v>
      </c>
      <c r="X479" s="58">
        <f t="shared" si="38"/>
        <v>-0.030000000000001137</v>
      </c>
    </row>
    <row r="480" spans="1:24" s="307" customFormat="1" ht="220.5">
      <c r="A480" s="244" t="s">
        <v>686</v>
      </c>
      <c r="B480" s="45"/>
      <c r="C480" s="48" t="s">
        <v>127</v>
      </c>
      <c r="D480" s="48" t="s">
        <v>170</v>
      </c>
      <c r="E480" s="49" t="s">
        <v>687</v>
      </c>
      <c r="F480" s="57"/>
      <c r="G480" s="58">
        <f>G481</f>
        <v>229.77</v>
      </c>
      <c r="H480" s="336"/>
      <c r="I480" s="336"/>
      <c r="J480" s="336"/>
      <c r="K480" s="336"/>
      <c r="L480" s="336"/>
      <c r="M480" s="336"/>
      <c r="N480" s="336"/>
      <c r="O480" s="336"/>
      <c r="P480" s="336"/>
      <c r="Q480" s="337"/>
      <c r="R480" s="336"/>
      <c r="S480" s="336"/>
      <c r="T480" s="336"/>
      <c r="U480" s="336"/>
      <c r="V480" s="336"/>
      <c r="W480" s="58">
        <f>W481</f>
        <v>229.8</v>
      </c>
      <c r="X480" s="62">
        <f t="shared" si="37"/>
        <v>-0.030000000000001137</v>
      </c>
    </row>
    <row r="481" spans="1:24" s="307" customFormat="1" ht="31.5">
      <c r="A481" s="260" t="s">
        <v>190</v>
      </c>
      <c r="B481" s="45"/>
      <c r="C481" s="48" t="s">
        <v>127</v>
      </c>
      <c r="D481" s="48" t="s">
        <v>170</v>
      </c>
      <c r="E481" s="49" t="s">
        <v>687</v>
      </c>
      <c r="F481" s="56" t="s">
        <v>178</v>
      </c>
      <c r="G481" s="62">
        <f>G482</f>
        <v>229.77</v>
      </c>
      <c r="H481" s="336"/>
      <c r="I481" s="336"/>
      <c r="J481" s="336"/>
      <c r="K481" s="336"/>
      <c r="L481" s="336"/>
      <c r="M481" s="336"/>
      <c r="N481" s="336"/>
      <c r="O481" s="336"/>
      <c r="P481" s="336"/>
      <c r="Q481" s="337"/>
      <c r="R481" s="336"/>
      <c r="S481" s="336"/>
      <c r="T481" s="336"/>
      <c r="U481" s="336"/>
      <c r="V481" s="336"/>
      <c r="W481" s="62">
        <f>W482</f>
        <v>229.8</v>
      </c>
      <c r="X481" s="62">
        <f t="shared" si="37"/>
        <v>-0.030000000000001137</v>
      </c>
    </row>
    <row r="482" spans="1:24" s="307" customFormat="1" ht="15.75">
      <c r="A482" s="261" t="s">
        <v>191</v>
      </c>
      <c r="B482" s="45"/>
      <c r="C482" s="48" t="s">
        <v>127</v>
      </c>
      <c r="D482" s="48" t="s">
        <v>170</v>
      </c>
      <c r="E482" s="49" t="s">
        <v>687</v>
      </c>
      <c r="F482" s="56" t="s">
        <v>192</v>
      </c>
      <c r="G482" s="62">
        <v>229.77</v>
      </c>
      <c r="H482" s="336"/>
      <c r="I482" s="336"/>
      <c r="J482" s="336"/>
      <c r="K482" s="336"/>
      <c r="L482" s="336"/>
      <c r="M482" s="336"/>
      <c r="N482" s="336"/>
      <c r="O482" s="336"/>
      <c r="P482" s="336"/>
      <c r="Q482" s="337"/>
      <c r="R482" s="336"/>
      <c r="S482" s="336"/>
      <c r="T482" s="336"/>
      <c r="U482" s="336"/>
      <c r="V482" s="336"/>
      <c r="W482" s="62">
        <v>229.8</v>
      </c>
      <c r="X482" s="62">
        <f>G482-W482</f>
        <v>-0.030000000000001137</v>
      </c>
    </row>
    <row r="483" spans="1:24" s="307" customFormat="1" ht="31.5">
      <c r="A483" s="257" t="s">
        <v>250</v>
      </c>
      <c r="B483" s="48"/>
      <c r="C483" s="48" t="s">
        <v>127</v>
      </c>
      <c r="D483" s="48" t="s">
        <v>170</v>
      </c>
      <c r="E483" s="49" t="s">
        <v>79</v>
      </c>
      <c r="F483" s="56"/>
      <c r="G483" s="62">
        <f>G484</f>
        <v>8080.7</v>
      </c>
      <c r="H483" s="336"/>
      <c r="I483" s="336"/>
      <c r="J483" s="336"/>
      <c r="K483" s="336"/>
      <c r="L483" s="336"/>
      <c r="M483" s="336"/>
      <c r="N483" s="336"/>
      <c r="O483" s="336"/>
      <c r="P483" s="336"/>
      <c r="Q483" s="337"/>
      <c r="R483" s="336"/>
      <c r="S483" s="336"/>
      <c r="T483" s="336"/>
      <c r="U483" s="336"/>
      <c r="V483" s="336"/>
      <c r="W483" s="62">
        <f>W484</f>
        <v>8080.7</v>
      </c>
      <c r="X483" s="62">
        <f t="shared" si="37"/>
        <v>0</v>
      </c>
    </row>
    <row r="484" spans="1:24" s="307" customFormat="1" ht="31.5">
      <c r="A484" s="163" t="s">
        <v>190</v>
      </c>
      <c r="B484" s="47"/>
      <c r="C484" s="48" t="s">
        <v>127</v>
      </c>
      <c r="D484" s="48" t="s">
        <v>170</v>
      </c>
      <c r="E484" s="49" t="s">
        <v>79</v>
      </c>
      <c r="F484" s="56" t="s">
        <v>178</v>
      </c>
      <c r="G484" s="62">
        <f>G485</f>
        <v>8080.7</v>
      </c>
      <c r="H484" s="336"/>
      <c r="I484" s="336"/>
      <c r="J484" s="336"/>
      <c r="K484" s="336"/>
      <c r="L484" s="336"/>
      <c r="M484" s="336"/>
      <c r="N484" s="336"/>
      <c r="O484" s="336"/>
      <c r="P484" s="336"/>
      <c r="Q484" s="337"/>
      <c r="R484" s="336"/>
      <c r="S484" s="336"/>
      <c r="T484" s="336"/>
      <c r="U484" s="336"/>
      <c r="V484" s="336"/>
      <c r="W484" s="62">
        <f>W485</f>
        <v>8080.7</v>
      </c>
      <c r="X484" s="62">
        <f t="shared" si="37"/>
        <v>0</v>
      </c>
    </row>
    <row r="485" spans="1:24" s="307" customFormat="1" ht="15.75">
      <c r="A485" s="253" t="s">
        <v>191</v>
      </c>
      <c r="B485" s="47"/>
      <c r="C485" s="48" t="s">
        <v>127</v>
      </c>
      <c r="D485" s="48" t="s">
        <v>170</v>
      </c>
      <c r="E485" s="49" t="s">
        <v>79</v>
      </c>
      <c r="F485" s="56" t="s">
        <v>192</v>
      </c>
      <c r="G485" s="62">
        <v>8080.7</v>
      </c>
      <c r="H485" s="336"/>
      <c r="I485" s="336"/>
      <c r="J485" s="336"/>
      <c r="K485" s="336"/>
      <c r="L485" s="336"/>
      <c r="M485" s="336"/>
      <c r="N485" s="336"/>
      <c r="O485" s="336"/>
      <c r="P485" s="336"/>
      <c r="Q485" s="337"/>
      <c r="R485" s="336"/>
      <c r="S485" s="336"/>
      <c r="T485" s="336"/>
      <c r="U485" s="336"/>
      <c r="V485" s="336"/>
      <c r="W485" s="62">
        <v>8080.7</v>
      </c>
      <c r="X485" s="62">
        <f>G485-W485</f>
        <v>0</v>
      </c>
    </row>
    <row r="486" spans="1:24" s="307" customFormat="1" ht="31.5">
      <c r="A486" s="234" t="s">
        <v>543</v>
      </c>
      <c r="B486" s="47"/>
      <c r="C486" s="48" t="s">
        <v>127</v>
      </c>
      <c r="D486" s="48" t="s">
        <v>170</v>
      </c>
      <c r="E486" s="52" t="s">
        <v>28</v>
      </c>
      <c r="F486" s="56"/>
      <c r="G486" s="58">
        <f>G487+G490+G499+G493+G496</f>
        <v>21395.418</v>
      </c>
      <c r="H486" s="58">
        <f aca="true" t="shared" si="39" ref="H486:X486">H487+H490+H499+H493+H496</f>
        <v>0</v>
      </c>
      <c r="I486" s="58">
        <f t="shared" si="39"/>
        <v>0</v>
      </c>
      <c r="J486" s="58">
        <f t="shared" si="39"/>
        <v>0</v>
      </c>
      <c r="K486" s="58">
        <f t="shared" si="39"/>
        <v>0</v>
      </c>
      <c r="L486" s="58">
        <f t="shared" si="39"/>
        <v>0</v>
      </c>
      <c r="M486" s="58">
        <f t="shared" si="39"/>
        <v>0</v>
      </c>
      <c r="N486" s="58">
        <f t="shared" si="39"/>
        <v>0</v>
      </c>
      <c r="O486" s="58">
        <f t="shared" si="39"/>
        <v>0</v>
      </c>
      <c r="P486" s="58">
        <f t="shared" si="39"/>
        <v>0</v>
      </c>
      <c r="Q486" s="58">
        <f t="shared" si="39"/>
        <v>0</v>
      </c>
      <c r="R486" s="58">
        <f t="shared" si="39"/>
        <v>0</v>
      </c>
      <c r="S486" s="58">
        <f t="shared" si="39"/>
        <v>0</v>
      </c>
      <c r="T486" s="58">
        <f t="shared" si="39"/>
        <v>0</v>
      </c>
      <c r="U486" s="58">
        <f t="shared" si="39"/>
        <v>0</v>
      </c>
      <c r="V486" s="58">
        <f t="shared" si="39"/>
        <v>0</v>
      </c>
      <c r="W486" s="58">
        <f>W487+W490+W499+W493+W496</f>
        <v>21395.09</v>
      </c>
      <c r="X486" s="58">
        <f t="shared" si="39"/>
        <v>0.32800000000174734</v>
      </c>
    </row>
    <row r="487" spans="1:24" s="307" customFormat="1" ht="15.75">
      <c r="A487" s="257" t="s">
        <v>257</v>
      </c>
      <c r="B487" s="66"/>
      <c r="C487" s="48" t="s">
        <v>127</v>
      </c>
      <c r="D487" s="48" t="s">
        <v>170</v>
      </c>
      <c r="E487" s="49" t="s">
        <v>258</v>
      </c>
      <c r="F487" s="56"/>
      <c r="G487" s="62">
        <f>G488</f>
        <v>2333.5</v>
      </c>
      <c r="H487" s="336"/>
      <c r="I487" s="336"/>
      <c r="J487" s="336"/>
      <c r="K487" s="336"/>
      <c r="L487" s="336"/>
      <c r="M487" s="336"/>
      <c r="N487" s="336"/>
      <c r="O487" s="336"/>
      <c r="P487" s="336"/>
      <c r="Q487" s="337"/>
      <c r="R487" s="336"/>
      <c r="S487" s="336"/>
      <c r="T487" s="336"/>
      <c r="U487" s="336"/>
      <c r="V487" s="336"/>
      <c r="W487" s="62">
        <f>W488</f>
        <v>2333.5</v>
      </c>
      <c r="X487" s="62">
        <f>X488</f>
        <v>0</v>
      </c>
    </row>
    <row r="488" spans="1:24" s="307" customFormat="1" ht="31.5">
      <c r="A488" s="163" t="s">
        <v>190</v>
      </c>
      <c r="B488" s="66"/>
      <c r="C488" s="48" t="s">
        <v>127</v>
      </c>
      <c r="D488" s="48" t="s">
        <v>170</v>
      </c>
      <c r="E488" s="49" t="s">
        <v>258</v>
      </c>
      <c r="F488" s="56" t="s">
        <v>178</v>
      </c>
      <c r="G488" s="62">
        <f>G489</f>
        <v>2333.5</v>
      </c>
      <c r="H488" s="336"/>
      <c r="I488" s="336"/>
      <c r="J488" s="336"/>
      <c r="K488" s="336"/>
      <c r="L488" s="336"/>
      <c r="M488" s="336"/>
      <c r="N488" s="336"/>
      <c r="O488" s="336"/>
      <c r="P488" s="336"/>
      <c r="Q488" s="337"/>
      <c r="R488" s="336"/>
      <c r="S488" s="336"/>
      <c r="T488" s="336"/>
      <c r="U488" s="336"/>
      <c r="V488" s="336"/>
      <c r="W488" s="62">
        <f>W489</f>
        <v>2333.5</v>
      </c>
      <c r="X488" s="62">
        <f>X489</f>
        <v>0</v>
      </c>
    </row>
    <row r="489" spans="1:24" s="307" customFormat="1" ht="15.75">
      <c r="A489" s="253" t="s">
        <v>191</v>
      </c>
      <c r="B489" s="66"/>
      <c r="C489" s="48" t="s">
        <v>127</v>
      </c>
      <c r="D489" s="48" t="s">
        <v>170</v>
      </c>
      <c r="E489" s="49" t="s">
        <v>258</v>
      </c>
      <c r="F489" s="56" t="s">
        <v>192</v>
      </c>
      <c r="G489" s="62">
        <v>2333.5</v>
      </c>
      <c r="H489" s="336"/>
      <c r="I489" s="336"/>
      <c r="J489" s="336"/>
      <c r="K489" s="336"/>
      <c r="L489" s="336"/>
      <c r="M489" s="336"/>
      <c r="N489" s="336"/>
      <c r="O489" s="336"/>
      <c r="P489" s="336"/>
      <c r="Q489" s="337"/>
      <c r="R489" s="336"/>
      <c r="S489" s="336"/>
      <c r="T489" s="336"/>
      <c r="U489" s="336"/>
      <c r="V489" s="336"/>
      <c r="W489" s="62">
        <v>2333.5</v>
      </c>
      <c r="X489" s="62">
        <f>G489-W489</f>
        <v>0</v>
      </c>
    </row>
    <row r="490" spans="1:24" s="307" customFormat="1" ht="220.5">
      <c r="A490" s="244" t="s">
        <v>686</v>
      </c>
      <c r="B490" s="45"/>
      <c r="C490" s="48" t="s">
        <v>127</v>
      </c>
      <c r="D490" s="48" t="s">
        <v>170</v>
      </c>
      <c r="E490" s="49" t="s">
        <v>688</v>
      </c>
      <c r="F490" s="56"/>
      <c r="G490" s="58">
        <f>G491</f>
        <v>338.5</v>
      </c>
      <c r="H490" s="336"/>
      <c r="I490" s="336"/>
      <c r="J490" s="336"/>
      <c r="K490" s="336"/>
      <c r="L490" s="336"/>
      <c r="M490" s="336"/>
      <c r="N490" s="336"/>
      <c r="O490" s="336"/>
      <c r="P490" s="336"/>
      <c r="Q490" s="337"/>
      <c r="R490" s="336"/>
      <c r="S490" s="336"/>
      <c r="T490" s="336"/>
      <c r="U490" s="336"/>
      <c r="V490" s="336"/>
      <c r="W490" s="58">
        <f>W491</f>
        <v>338.5</v>
      </c>
      <c r="X490" s="62">
        <f>X491</f>
        <v>0</v>
      </c>
    </row>
    <row r="491" spans="1:24" s="307" customFormat="1" ht="31.5">
      <c r="A491" s="260" t="s">
        <v>190</v>
      </c>
      <c r="B491" s="45"/>
      <c r="C491" s="48" t="s">
        <v>127</v>
      </c>
      <c r="D491" s="48" t="s">
        <v>170</v>
      </c>
      <c r="E491" s="49" t="s">
        <v>688</v>
      </c>
      <c r="F491" s="56" t="s">
        <v>178</v>
      </c>
      <c r="G491" s="62">
        <f>G492</f>
        <v>338.5</v>
      </c>
      <c r="H491" s="336"/>
      <c r="I491" s="336"/>
      <c r="J491" s="336"/>
      <c r="K491" s="336"/>
      <c r="L491" s="336"/>
      <c r="M491" s="336"/>
      <c r="N491" s="336"/>
      <c r="O491" s="336"/>
      <c r="P491" s="336"/>
      <c r="Q491" s="337"/>
      <c r="R491" s="336"/>
      <c r="S491" s="336"/>
      <c r="T491" s="336"/>
      <c r="U491" s="336"/>
      <c r="V491" s="336"/>
      <c r="W491" s="62">
        <f>W492</f>
        <v>338.5</v>
      </c>
      <c r="X491" s="62">
        <f>X492</f>
        <v>0</v>
      </c>
    </row>
    <row r="492" spans="1:24" s="307" customFormat="1" ht="15.75">
      <c r="A492" s="261" t="s">
        <v>191</v>
      </c>
      <c r="B492" s="45"/>
      <c r="C492" s="48" t="s">
        <v>127</v>
      </c>
      <c r="D492" s="48" t="s">
        <v>170</v>
      </c>
      <c r="E492" s="49" t="s">
        <v>688</v>
      </c>
      <c r="F492" s="56" t="s">
        <v>192</v>
      </c>
      <c r="G492" s="62">
        <v>338.5</v>
      </c>
      <c r="H492" s="336"/>
      <c r="I492" s="336"/>
      <c r="J492" s="336"/>
      <c r="K492" s="336"/>
      <c r="L492" s="336"/>
      <c r="M492" s="336"/>
      <c r="N492" s="336"/>
      <c r="O492" s="336"/>
      <c r="P492" s="336"/>
      <c r="Q492" s="337"/>
      <c r="R492" s="336"/>
      <c r="S492" s="336"/>
      <c r="T492" s="336"/>
      <c r="U492" s="336"/>
      <c r="V492" s="336"/>
      <c r="W492" s="62">
        <v>338.5</v>
      </c>
      <c r="X492" s="62">
        <f>G492-W492</f>
        <v>0</v>
      </c>
    </row>
    <row r="493" spans="1:24" s="307" customFormat="1" ht="47.25">
      <c r="A493" s="274" t="s">
        <v>464</v>
      </c>
      <c r="B493" s="47"/>
      <c r="C493" s="48" t="s">
        <v>127</v>
      </c>
      <c r="D493" s="48" t="s">
        <v>170</v>
      </c>
      <c r="E493" s="49" t="s">
        <v>416</v>
      </c>
      <c r="F493" s="56"/>
      <c r="G493" s="62">
        <f>G494</f>
        <v>17919.485</v>
      </c>
      <c r="H493" s="336"/>
      <c r="I493" s="336"/>
      <c r="J493" s="336"/>
      <c r="K493" s="336"/>
      <c r="L493" s="336"/>
      <c r="M493" s="336"/>
      <c r="N493" s="336"/>
      <c r="O493" s="336"/>
      <c r="P493" s="336"/>
      <c r="Q493" s="337"/>
      <c r="R493" s="336"/>
      <c r="S493" s="336"/>
      <c r="T493" s="336"/>
      <c r="U493" s="336"/>
      <c r="V493" s="336"/>
      <c r="W493" s="62">
        <f>W494</f>
        <v>17919.53</v>
      </c>
      <c r="X493" s="62">
        <f>X494</f>
        <v>-0.04499999999825377</v>
      </c>
    </row>
    <row r="494" spans="1:24" s="307" customFormat="1" ht="31.5">
      <c r="A494" s="163" t="s">
        <v>263</v>
      </c>
      <c r="B494" s="47"/>
      <c r="C494" s="48" t="s">
        <v>127</v>
      </c>
      <c r="D494" s="48" t="s">
        <v>170</v>
      </c>
      <c r="E494" s="49" t="s">
        <v>416</v>
      </c>
      <c r="F494" s="56" t="s">
        <v>178</v>
      </c>
      <c r="G494" s="62">
        <f>G495</f>
        <v>17919.485</v>
      </c>
      <c r="H494" s="336"/>
      <c r="I494" s="336"/>
      <c r="J494" s="336"/>
      <c r="K494" s="336"/>
      <c r="L494" s="336"/>
      <c r="M494" s="336"/>
      <c r="N494" s="336"/>
      <c r="O494" s="336"/>
      <c r="P494" s="336"/>
      <c r="Q494" s="337"/>
      <c r="R494" s="336"/>
      <c r="S494" s="336"/>
      <c r="T494" s="336"/>
      <c r="U494" s="336"/>
      <c r="V494" s="336"/>
      <c r="W494" s="62">
        <f>W495</f>
        <v>17919.53</v>
      </c>
      <c r="X494" s="62">
        <f>X495</f>
        <v>-0.04499999999825377</v>
      </c>
    </row>
    <row r="495" spans="1:24" s="307" customFormat="1" ht="15.75">
      <c r="A495" s="253" t="s">
        <v>191</v>
      </c>
      <c r="B495" s="47"/>
      <c r="C495" s="48" t="s">
        <v>127</v>
      </c>
      <c r="D495" s="48" t="s">
        <v>170</v>
      </c>
      <c r="E495" s="49" t="s">
        <v>416</v>
      </c>
      <c r="F495" s="56" t="s">
        <v>192</v>
      </c>
      <c r="G495" s="62">
        <v>17919.485</v>
      </c>
      <c r="H495" s="336"/>
      <c r="I495" s="336"/>
      <c r="J495" s="336"/>
      <c r="K495" s="336"/>
      <c r="L495" s="336"/>
      <c r="M495" s="336"/>
      <c r="N495" s="336"/>
      <c r="O495" s="336"/>
      <c r="P495" s="336"/>
      <c r="Q495" s="337"/>
      <c r="R495" s="336"/>
      <c r="S495" s="336"/>
      <c r="T495" s="336"/>
      <c r="U495" s="336"/>
      <c r="V495" s="336"/>
      <c r="W495" s="62">
        <f>16750.53+16.8+1151+1.2</f>
        <v>17919.53</v>
      </c>
      <c r="X495" s="62">
        <f>G495-W495</f>
        <v>-0.04499999999825377</v>
      </c>
    </row>
    <row r="496" spans="1:24" s="307" customFormat="1" ht="47.25">
      <c r="A496" s="274" t="s">
        <v>339</v>
      </c>
      <c r="B496" s="47"/>
      <c r="C496" s="48" t="s">
        <v>127</v>
      </c>
      <c r="D496" s="48" t="s">
        <v>170</v>
      </c>
      <c r="E496" s="49" t="s">
        <v>338</v>
      </c>
      <c r="F496" s="56"/>
      <c r="G496" s="62">
        <f>G497</f>
        <v>16.373</v>
      </c>
      <c r="H496" s="336"/>
      <c r="I496" s="336"/>
      <c r="J496" s="336"/>
      <c r="K496" s="336"/>
      <c r="L496" s="336"/>
      <c r="M496" s="336"/>
      <c r="N496" s="336"/>
      <c r="O496" s="336"/>
      <c r="P496" s="336"/>
      <c r="Q496" s="337"/>
      <c r="R496" s="336"/>
      <c r="S496" s="336"/>
      <c r="T496" s="336"/>
      <c r="U496" s="336"/>
      <c r="V496" s="336"/>
      <c r="W496" s="62">
        <f>W497</f>
        <v>16</v>
      </c>
      <c r="X496" s="62">
        <f>X497</f>
        <v>0.3730000000000011</v>
      </c>
    </row>
    <row r="497" spans="1:24" s="307" customFormat="1" ht="31.5">
      <c r="A497" s="163" t="s">
        <v>263</v>
      </c>
      <c r="B497" s="47"/>
      <c r="C497" s="48" t="s">
        <v>127</v>
      </c>
      <c r="D497" s="48" t="s">
        <v>170</v>
      </c>
      <c r="E497" s="49" t="s">
        <v>338</v>
      </c>
      <c r="F497" s="56" t="s">
        <v>178</v>
      </c>
      <c r="G497" s="62">
        <f>G498</f>
        <v>16.373</v>
      </c>
      <c r="H497" s="336"/>
      <c r="I497" s="336"/>
      <c r="J497" s="336"/>
      <c r="K497" s="336"/>
      <c r="L497" s="336"/>
      <c r="M497" s="336"/>
      <c r="N497" s="336"/>
      <c r="O497" s="336"/>
      <c r="P497" s="336"/>
      <c r="Q497" s="337"/>
      <c r="R497" s="336"/>
      <c r="S497" s="336"/>
      <c r="T497" s="336"/>
      <c r="U497" s="336"/>
      <c r="V497" s="336"/>
      <c r="W497" s="62">
        <f>W498</f>
        <v>16</v>
      </c>
      <c r="X497" s="62">
        <f>X498</f>
        <v>0.3730000000000011</v>
      </c>
    </row>
    <row r="498" spans="1:24" s="307" customFormat="1" ht="15.75">
      <c r="A498" s="253" t="s">
        <v>191</v>
      </c>
      <c r="B498" s="47"/>
      <c r="C498" s="48" t="s">
        <v>127</v>
      </c>
      <c r="D498" s="48" t="s">
        <v>170</v>
      </c>
      <c r="E498" s="49" t="s">
        <v>338</v>
      </c>
      <c r="F498" s="56" t="s">
        <v>192</v>
      </c>
      <c r="G498" s="62">
        <v>16.373</v>
      </c>
      <c r="H498" s="336"/>
      <c r="I498" s="336"/>
      <c r="J498" s="336"/>
      <c r="K498" s="336"/>
      <c r="L498" s="336"/>
      <c r="M498" s="336"/>
      <c r="N498" s="336"/>
      <c r="O498" s="336"/>
      <c r="P498" s="336"/>
      <c r="Q498" s="337"/>
      <c r="R498" s="336"/>
      <c r="S498" s="336"/>
      <c r="T498" s="336"/>
      <c r="U498" s="336"/>
      <c r="V498" s="336"/>
      <c r="W498" s="62">
        <f>14.1+1.1+0.8</f>
        <v>16</v>
      </c>
      <c r="X498" s="62">
        <f>G498-W498</f>
        <v>0.3730000000000011</v>
      </c>
    </row>
    <row r="499" spans="1:24" s="307" customFormat="1" ht="47.25">
      <c r="A499" s="274" t="s">
        <v>251</v>
      </c>
      <c r="B499" s="47"/>
      <c r="C499" s="48" t="s">
        <v>127</v>
      </c>
      <c r="D499" s="48" t="s">
        <v>170</v>
      </c>
      <c r="E499" s="49" t="s">
        <v>259</v>
      </c>
      <c r="F499" s="56"/>
      <c r="G499" s="62">
        <f>G500</f>
        <v>787.56</v>
      </c>
      <c r="H499" s="336"/>
      <c r="I499" s="336"/>
      <c r="J499" s="336"/>
      <c r="K499" s="336"/>
      <c r="L499" s="336"/>
      <c r="M499" s="336"/>
      <c r="N499" s="336"/>
      <c r="O499" s="336"/>
      <c r="P499" s="336"/>
      <c r="Q499" s="336"/>
      <c r="R499" s="336"/>
      <c r="S499" s="336"/>
      <c r="T499" s="336"/>
      <c r="U499" s="336"/>
      <c r="V499" s="336"/>
      <c r="W499" s="62">
        <f>W500</f>
        <v>787.56</v>
      </c>
      <c r="X499" s="62">
        <f>X500</f>
        <v>0</v>
      </c>
    </row>
    <row r="500" spans="1:24" s="307" customFormat="1" ht="31.5">
      <c r="A500" s="163" t="s">
        <v>190</v>
      </c>
      <c r="B500" s="47"/>
      <c r="C500" s="48" t="s">
        <v>127</v>
      </c>
      <c r="D500" s="48" t="s">
        <v>170</v>
      </c>
      <c r="E500" s="49" t="s">
        <v>259</v>
      </c>
      <c r="F500" s="56" t="s">
        <v>178</v>
      </c>
      <c r="G500" s="62">
        <f>G501</f>
        <v>787.56</v>
      </c>
      <c r="H500" s="336"/>
      <c r="I500" s="336"/>
      <c r="J500" s="336"/>
      <c r="K500" s="336"/>
      <c r="L500" s="336"/>
      <c r="M500" s="336"/>
      <c r="N500" s="336"/>
      <c r="O500" s="336"/>
      <c r="P500" s="336"/>
      <c r="Q500" s="336"/>
      <c r="R500" s="336"/>
      <c r="S500" s="336"/>
      <c r="T500" s="336"/>
      <c r="U500" s="336"/>
      <c r="V500" s="336"/>
      <c r="W500" s="62">
        <f>W501</f>
        <v>787.56</v>
      </c>
      <c r="X500" s="62">
        <f>X501</f>
        <v>0</v>
      </c>
    </row>
    <row r="501" spans="1:24" s="307" customFormat="1" ht="15.75">
      <c r="A501" s="253" t="s">
        <v>191</v>
      </c>
      <c r="B501" s="47"/>
      <c r="C501" s="48" t="s">
        <v>127</v>
      </c>
      <c r="D501" s="48" t="s">
        <v>170</v>
      </c>
      <c r="E501" s="49" t="s">
        <v>259</v>
      </c>
      <c r="F501" s="56" t="s">
        <v>192</v>
      </c>
      <c r="G501" s="62">
        <v>787.56</v>
      </c>
      <c r="H501" s="336"/>
      <c r="I501" s="336"/>
      <c r="J501" s="336"/>
      <c r="K501" s="336"/>
      <c r="L501" s="336"/>
      <c r="M501" s="336"/>
      <c r="N501" s="336"/>
      <c r="O501" s="336"/>
      <c r="P501" s="336"/>
      <c r="Q501" s="336"/>
      <c r="R501" s="336"/>
      <c r="S501" s="336"/>
      <c r="T501" s="336"/>
      <c r="U501" s="336"/>
      <c r="V501" s="336"/>
      <c r="W501" s="62">
        <f>78.76+708.8</f>
        <v>787.56</v>
      </c>
      <c r="X501" s="62">
        <f>G501-W501</f>
        <v>0</v>
      </c>
    </row>
    <row r="502" spans="1:24" s="307" customFormat="1" ht="31.5">
      <c r="A502" s="254" t="s">
        <v>523</v>
      </c>
      <c r="B502" s="111" t="s">
        <v>291</v>
      </c>
      <c r="C502" s="205"/>
      <c r="D502" s="205"/>
      <c r="E502" s="206"/>
      <c r="F502" s="207"/>
      <c r="G502" s="314">
        <f>G503+G541+G564+G616+G676+G697</f>
        <v>404948.253</v>
      </c>
      <c r="H502" s="336"/>
      <c r="I502" s="336"/>
      <c r="J502" s="336"/>
      <c r="K502" s="336"/>
      <c r="L502" s="336"/>
      <c r="M502" s="336"/>
      <c r="N502" s="336"/>
      <c r="O502" s="336"/>
      <c r="P502" s="336"/>
      <c r="Q502" s="337"/>
      <c r="R502" s="346" t="e">
        <f>G506+G514+G520+G526+G531+G534+G538+G545+G553+G556+G561+G568+G571+G574+#REF!+G577+G580+G583+G586+G589+G592+G595+G600+G607+G610+G613+G620+G623+G626+G629+G632+G635+G638+G641+G644+#REF!+G647+G650+G653+G656+G659+G662+#REF!+G680+G684+G688+G694+G701+G706+G712+G715+G718+G721+#REF!+G724+G727+#REF!+G733+G739+G742+G736</f>
        <v>#REF!</v>
      </c>
      <c r="S502" s="346" t="e">
        <f>R502-G502</f>
        <v>#REF!</v>
      </c>
      <c r="T502" s="336"/>
      <c r="U502" s="336"/>
      <c r="V502" s="336"/>
      <c r="W502" s="314">
        <f>W503+W541+W564+W616+W676+W697</f>
        <v>402731.753</v>
      </c>
      <c r="X502" s="314">
        <f>X503+X541+X564+X616+X676+X697</f>
        <v>2216.5</v>
      </c>
    </row>
    <row r="503" spans="1:24" s="307" customFormat="1" ht="15.75">
      <c r="A503" s="286" t="s">
        <v>131</v>
      </c>
      <c r="B503" s="97"/>
      <c r="C503" s="45" t="s">
        <v>157</v>
      </c>
      <c r="D503" s="45"/>
      <c r="E503" s="229"/>
      <c r="F503" s="230"/>
      <c r="G503" s="58">
        <f>G504+G511</f>
        <v>11368</v>
      </c>
      <c r="H503" s="336"/>
      <c r="I503" s="336"/>
      <c r="J503" s="336"/>
      <c r="K503" s="336"/>
      <c r="L503" s="336"/>
      <c r="M503" s="336"/>
      <c r="N503" s="336"/>
      <c r="O503" s="336"/>
      <c r="P503" s="336"/>
      <c r="Q503" s="337"/>
      <c r="R503" s="336"/>
      <c r="S503" s="336"/>
      <c r="T503" s="336"/>
      <c r="U503" s="336"/>
      <c r="V503" s="336"/>
      <c r="W503" s="58">
        <f>W504+W511</f>
        <v>11368</v>
      </c>
      <c r="X503" s="58">
        <f>X504+X511</f>
        <v>0</v>
      </c>
    </row>
    <row r="504" spans="1:24" s="307" customFormat="1" ht="31.5">
      <c r="A504" s="252" t="s">
        <v>141</v>
      </c>
      <c r="B504" s="97"/>
      <c r="C504" s="45" t="s">
        <v>157</v>
      </c>
      <c r="D504" s="45" t="s">
        <v>170</v>
      </c>
      <c r="E504" s="229"/>
      <c r="F504" s="230"/>
      <c r="G504" s="58">
        <f>G505</f>
        <v>10234.4</v>
      </c>
      <c r="H504" s="336"/>
      <c r="I504" s="336"/>
      <c r="J504" s="336"/>
      <c r="K504" s="336"/>
      <c r="L504" s="336"/>
      <c r="M504" s="336"/>
      <c r="N504" s="336"/>
      <c r="O504" s="336"/>
      <c r="P504" s="336"/>
      <c r="Q504" s="337"/>
      <c r="R504" s="336"/>
      <c r="S504" s="336"/>
      <c r="T504" s="336"/>
      <c r="U504" s="336"/>
      <c r="V504" s="336"/>
      <c r="W504" s="58">
        <f>W505</f>
        <v>10234.4</v>
      </c>
      <c r="X504" s="58">
        <f>X505</f>
        <v>0</v>
      </c>
    </row>
    <row r="505" spans="1:24" ht="31.5">
      <c r="A505" s="234" t="s">
        <v>490</v>
      </c>
      <c r="B505" s="97"/>
      <c r="C505" s="45" t="s">
        <v>157</v>
      </c>
      <c r="D505" s="45" t="s">
        <v>170</v>
      </c>
      <c r="E505" s="52" t="s">
        <v>362</v>
      </c>
      <c r="F505" s="231"/>
      <c r="G505" s="58">
        <f>G506</f>
        <v>10234.4</v>
      </c>
      <c r="W505" s="58">
        <f>W506</f>
        <v>10234.4</v>
      </c>
      <c r="X505" s="58">
        <f>X506</f>
        <v>0</v>
      </c>
    </row>
    <row r="506" spans="1:24" ht="15.75">
      <c r="A506" s="235" t="s">
        <v>115</v>
      </c>
      <c r="B506" s="92"/>
      <c r="C506" s="48" t="s">
        <v>157</v>
      </c>
      <c r="D506" s="48" t="s">
        <v>170</v>
      </c>
      <c r="E506" s="49" t="s">
        <v>363</v>
      </c>
      <c r="F506" s="56"/>
      <c r="G506" s="62">
        <f>G507+G509</f>
        <v>10234.4</v>
      </c>
      <c r="W506" s="62">
        <f>W507+W509</f>
        <v>10234.4</v>
      </c>
      <c r="X506" s="62">
        <f>X507+X509</f>
        <v>0</v>
      </c>
    </row>
    <row r="507" spans="1:24" ht="47.25">
      <c r="A507" s="237" t="s">
        <v>116</v>
      </c>
      <c r="B507" s="92"/>
      <c r="C507" s="48" t="s">
        <v>157</v>
      </c>
      <c r="D507" s="48" t="s">
        <v>170</v>
      </c>
      <c r="E507" s="49" t="s">
        <v>363</v>
      </c>
      <c r="F507" s="56" t="s">
        <v>198</v>
      </c>
      <c r="G507" s="62">
        <f>G508</f>
        <v>9958.9</v>
      </c>
      <c r="W507" s="62">
        <f>W508</f>
        <v>9958.9</v>
      </c>
      <c r="X507" s="62">
        <f>X508</f>
        <v>0</v>
      </c>
    </row>
    <row r="508" spans="1:24" ht="15.75">
      <c r="A508" s="237" t="s">
        <v>193</v>
      </c>
      <c r="B508" s="92"/>
      <c r="C508" s="48" t="s">
        <v>157</v>
      </c>
      <c r="D508" s="48" t="s">
        <v>170</v>
      </c>
      <c r="E508" s="49" t="s">
        <v>363</v>
      </c>
      <c r="F508" s="56" t="s">
        <v>194</v>
      </c>
      <c r="G508" s="62">
        <f>9795.6+163.3</f>
        <v>9958.9</v>
      </c>
      <c r="W508" s="62">
        <f>9795.6+163.3</f>
        <v>9958.9</v>
      </c>
      <c r="X508" s="62">
        <f>G508-W508</f>
        <v>0</v>
      </c>
    </row>
    <row r="509" spans="1:24" ht="15.75">
      <c r="A509" s="237" t="s">
        <v>226</v>
      </c>
      <c r="B509" s="92"/>
      <c r="C509" s="48" t="s">
        <v>157</v>
      </c>
      <c r="D509" s="48" t="s">
        <v>170</v>
      </c>
      <c r="E509" s="49" t="s">
        <v>363</v>
      </c>
      <c r="F509" s="56" t="s">
        <v>188</v>
      </c>
      <c r="G509" s="62">
        <f>G510</f>
        <v>275.5</v>
      </c>
      <c r="W509" s="62">
        <f>W510</f>
        <v>275.5</v>
      </c>
      <c r="X509" s="62">
        <f>X510</f>
        <v>0</v>
      </c>
    </row>
    <row r="510" spans="1:24" ht="15.75">
      <c r="A510" s="237" t="s">
        <v>189</v>
      </c>
      <c r="B510" s="92"/>
      <c r="C510" s="48" t="s">
        <v>157</v>
      </c>
      <c r="D510" s="48" t="s">
        <v>170</v>
      </c>
      <c r="E510" s="49" t="s">
        <v>363</v>
      </c>
      <c r="F510" s="56" t="s">
        <v>187</v>
      </c>
      <c r="G510" s="62">
        <v>275.5</v>
      </c>
      <c r="W510" s="62">
        <v>275.5</v>
      </c>
      <c r="X510" s="62">
        <f>G510-W510</f>
        <v>0</v>
      </c>
    </row>
    <row r="511" spans="1:24" ht="15.75">
      <c r="A511" s="242" t="s">
        <v>142</v>
      </c>
      <c r="B511" s="92"/>
      <c r="C511" s="93" t="s">
        <v>157</v>
      </c>
      <c r="D511" s="93" t="s">
        <v>123</v>
      </c>
      <c r="E511" s="171"/>
      <c r="F511" s="94"/>
      <c r="G511" s="58">
        <f>G512+G525+G537</f>
        <v>1133.6</v>
      </c>
      <c r="W511" s="58">
        <f>W512+W525+W537</f>
        <v>1133.6</v>
      </c>
      <c r="X511" s="58">
        <f>X512+X525+X537</f>
        <v>0</v>
      </c>
    </row>
    <row r="512" spans="1:24" ht="31.5" customHeight="1">
      <c r="A512" s="275" t="s">
        <v>447</v>
      </c>
      <c r="B512" s="92"/>
      <c r="C512" s="93" t="s">
        <v>157</v>
      </c>
      <c r="D512" s="93" t="s">
        <v>123</v>
      </c>
      <c r="E512" s="52" t="s">
        <v>82</v>
      </c>
      <c r="F512" s="94"/>
      <c r="G512" s="58">
        <f>G513+G519</f>
        <v>370</v>
      </c>
      <c r="W512" s="58">
        <f>W513+W519</f>
        <v>370</v>
      </c>
      <c r="X512" s="58">
        <f>X513+X519</f>
        <v>0</v>
      </c>
    </row>
    <row r="513" spans="1:24" ht="15.75">
      <c r="A513" s="252" t="s">
        <v>341</v>
      </c>
      <c r="B513" s="92"/>
      <c r="C513" s="93" t="s">
        <v>157</v>
      </c>
      <c r="D513" s="93" t="s">
        <v>123</v>
      </c>
      <c r="E513" s="52" t="s">
        <v>48</v>
      </c>
      <c r="F513" s="94"/>
      <c r="G513" s="58">
        <f>G514</f>
        <v>45</v>
      </c>
      <c r="W513" s="58">
        <f>W514</f>
        <v>45</v>
      </c>
      <c r="X513" s="58">
        <f>X514</f>
        <v>0</v>
      </c>
    </row>
    <row r="514" spans="1:24" ht="15.75">
      <c r="A514" s="238" t="s">
        <v>94</v>
      </c>
      <c r="B514" s="55"/>
      <c r="C514" s="80" t="s">
        <v>157</v>
      </c>
      <c r="D514" s="80" t="s">
        <v>123</v>
      </c>
      <c r="E514" s="81" t="s">
        <v>49</v>
      </c>
      <c r="F514" s="76"/>
      <c r="G514" s="62">
        <f>G515+G517</f>
        <v>45</v>
      </c>
      <c r="W514" s="62">
        <f>W515+W517</f>
        <v>45</v>
      </c>
      <c r="X514" s="62">
        <f>X515+X517</f>
        <v>0</v>
      </c>
    </row>
    <row r="515" spans="1:24" ht="15.75">
      <c r="A515" s="237" t="s">
        <v>226</v>
      </c>
      <c r="B515" s="47"/>
      <c r="C515" s="80" t="s">
        <v>157</v>
      </c>
      <c r="D515" s="80" t="s">
        <v>123</v>
      </c>
      <c r="E515" s="81" t="s">
        <v>49</v>
      </c>
      <c r="F515" s="76" t="s">
        <v>188</v>
      </c>
      <c r="G515" s="62">
        <f>G516</f>
        <v>5</v>
      </c>
      <c r="W515" s="62">
        <f>W516</f>
        <v>5</v>
      </c>
      <c r="X515" s="62">
        <f>X516</f>
        <v>0</v>
      </c>
    </row>
    <row r="516" spans="1:24" ht="15.75">
      <c r="A516" s="237" t="s">
        <v>189</v>
      </c>
      <c r="B516" s="55"/>
      <c r="C516" s="80" t="s">
        <v>157</v>
      </c>
      <c r="D516" s="80" t="s">
        <v>123</v>
      </c>
      <c r="E516" s="81" t="s">
        <v>49</v>
      </c>
      <c r="F516" s="76" t="s">
        <v>187</v>
      </c>
      <c r="G516" s="62">
        <v>5</v>
      </c>
      <c r="W516" s="62">
        <v>5</v>
      </c>
      <c r="X516" s="62">
        <f>G516-W516</f>
        <v>0</v>
      </c>
    </row>
    <row r="517" spans="1:24" s="307" customFormat="1" ht="31.5">
      <c r="A517" s="237" t="s">
        <v>263</v>
      </c>
      <c r="B517" s="92"/>
      <c r="C517" s="80" t="s">
        <v>157</v>
      </c>
      <c r="D517" s="80" t="s">
        <v>123</v>
      </c>
      <c r="E517" s="81" t="s">
        <v>49</v>
      </c>
      <c r="F517" s="153">
        <v>600</v>
      </c>
      <c r="G517" s="70">
        <f>G518</f>
        <v>40</v>
      </c>
      <c r="H517" s="336"/>
      <c r="I517" s="336"/>
      <c r="J517" s="336"/>
      <c r="K517" s="336"/>
      <c r="L517" s="336"/>
      <c r="M517" s="336"/>
      <c r="N517" s="336"/>
      <c r="O517" s="336"/>
      <c r="P517" s="336"/>
      <c r="Q517" s="337"/>
      <c r="R517" s="336"/>
      <c r="S517" s="336"/>
      <c r="T517" s="336"/>
      <c r="U517" s="336"/>
      <c r="V517" s="336"/>
      <c r="W517" s="70">
        <f>W518</f>
        <v>40</v>
      </c>
      <c r="X517" s="70">
        <f>X518</f>
        <v>0</v>
      </c>
    </row>
    <row r="518" spans="1:24" s="307" customFormat="1" ht="15.75">
      <c r="A518" s="237" t="s">
        <v>191</v>
      </c>
      <c r="B518" s="92"/>
      <c r="C518" s="80" t="s">
        <v>157</v>
      </c>
      <c r="D518" s="80" t="s">
        <v>123</v>
      </c>
      <c r="E518" s="81" t="s">
        <v>49</v>
      </c>
      <c r="F518" s="153">
        <v>610</v>
      </c>
      <c r="G518" s="70">
        <v>40</v>
      </c>
      <c r="H518" s="336"/>
      <c r="I518" s="336"/>
      <c r="J518" s="336"/>
      <c r="K518" s="336"/>
      <c r="L518" s="336"/>
      <c r="M518" s="336"/>
      <c r="N518" s="336"/>
      <c r="O518" s="336"/>
      <c r="P518" s="336"/>
      <c r="Q518" s="337"/>
      <c r="R518" s="336"/>
      <c r="S518" s="336"/>
      <c r="T518" s="336"/>
      <c r="U518" s="336"/>
      <c r="V518" s="336"/>
      <c r="W518" s="70">
        <v>40</v>
      </c>
      <c r="X518" s="62">
        <f>G518-W518</f>
        <v>0</v>
      </c>
    </row>
    <row r="519" spans="1:24" s="307" customFormat="1" ht="15.75">
      <c r="A519" s="239" t="s">
        <v>212</v>
      </c>
      <c r="B519" s="55"/>
      <c r="C519" s="93" t="s">
        <v>157</v>
      </c>
      <c r="D519" s="93" t="s">
        <v>123</v>
      </c>
      <c r="E519" s="98" t="s">
        <v>50</v>
      </c>
      <c r="F519" s="76"/>
      <c r="G519" s="58">
        <f>G520</f>
        <v>325</v>
      </c>
      <c r="H519" s="336"/>
      <c r="I519" s="336"/>
      <c r="J519" s="336"/>
      <c r="K519" s="336"/>
      <c r="L519" s="336"/>
      <c r="M519" s="336"/>
      <c r="N519" s="336"/>
      <c r="O519" s="336"/>
      <c r="P519" s="336"/>
      <c r="Q519" s="337"/>
      <c r="R519" s="336"/>
      <c r="S519" s="336"/>
      <c r="T519" s="336"/>
      <c r="U519" s="336"/>
      <c r="V519" s="336"/>
      <c r="W519" s="58">
        <f>W520</f>
        <v>325</v>
      </c>
      <c r="X519" s="58">
        <f>X520</f>
        <v>0</v>
      </c>
    </row>
    <row r="520" spans="1:24" s="307" customFormat="1" ht="15.75">
      <c r="A520" s="238" t="s">
        <v>94</v>
      </c>
      <c r="B520" s="55"/>
      <c r="C520" s="80" t="s">
        <v>157</v>
      </c>
      <c r="D520" s="80" t="s">
        <v>123</v>
      </c>
      <c r="E520" s="81" t="s">
        <v>51</v>
      </c>
      <c r="F520" s="76"/>
      <c r="G520" s="62">
        <f>G521+G523</f>
        <v>325</v>
      </c>
      <c r="H520" s="336"/>
      <c r="I520" s="336"/>
      <c r="J520" s="336"/>
      <c r="K520" s="336"/>
      <c r="L520" s="336"/>
      <c r="M520" s="336"/>
      <c r="N520" s="336"/>
      <c r="O520" s="336"/>
      <c r="P520" s="336"/>
      <c r="Q520" s="337"/>
      <c r="R520" s="336"/>
      <c r="S520" s="336"/>
      <c r="T520" s="336"/>
      <c r="U520" s="336"/>
      <c r="V520" s="336"/>
      <c r="W520" s="62">
        <f>W521+W523</f>
        <v>325</v>
      </c>
      <c r="X520" s="62">
        <f>X521+X523</f>
        <v>0</v>
      </c>
    </row>
    <row r="521" spans="1:24" s="307" customFormat="1" ht="15.75">
      <c r="A521" s="237" t="s">
        <v>226</v>
      </c>
      <c r="B521" s="47"/>
      <c r="C521" s="80" t="s">
        <v>157</v>
      </c>
      <c r="D521" s="80" t="s">
        <v>123</v>
      </c>
      <c r="E521" s="81" t="s">
        <v>51</v>
      </c>
      <c r="F521" s="76" t="s">
        <v>188</v>
      </c>
      <c r="G521" s="62">
        <f>G522</f>
        <v>52</v>
      </c>
      <c r="H521" s="336"/>
      <c r="I521" s="336"/>
      <c r="J521" s="336"/>
      <c r="K521" s="336"/>
      <c r="L521" s="336"/>
      <c r="M521" s="336"/>
      <c r="N521" s="336"/>
      <c r="O521" s="336"/>
      <c r="P521" s="336"/>
      <c r="Q521" s="337"/>
      <c r="R521" s="336"/>
      <c r="S521" s="336"/>
      <c r="T521" s="336"/>
      <c r="U521" s="336"/>
      <c r="V521" s="336"/>
      <c r="W521" s="62">
        <f>W522</f>
        <v>52</v>
      </c>
      <c r="X521" s="62">
        <f>X522</f>
        <v>0</v>
      </c>
    </row>
    <row r="522" spans="1:24" s="307" customFormat="1" ht="15.75">
      <c r="A522" s="237" t="s">
        <v>189</v>
      </c>
      <c r="B522" s="55"/>
      <c r="C522" s="80" t="s">
        <v>157</v>
      </c>
      <c r="D522" s="80" t="s">
        <v>123</v>
      </c>
      <c r="E522" s="81" t="s">
        <v>51</v>
      </c>
      <c r="F522" s="76" t="s">
        <v>187</v>
      </c>
      <c r="G522" s="62">
        <v>52</v>
      </c>
      <c r="H522" s="336"/>
      <c r="I522" s="336"/>
      <c r="J522" s="336"/>
      <c r="K522" s="336"/>
      <c r="L522" s="336"/>
      <c r="M522" s="336"/>
      <c r="N522" s="336"/>
      <c r="O522" s="336"/>
      <c r="P522" s="336"/>
      <c r="Q522" s="337"/>
      <c r="R522" s="336"/>
      <c r="S522" s="336"/>
      <c r="T522" s="336"/>
      <c r="U522" s="336"/>
      <c r="V522" s="336"/>
      <c r="W522" s="62">
        <v>52</v>
      </c>
      <c r="X522" s="62">
        <f>G522-W522</f>
        <v>0</v>
      </c>
    </row>
    <row r="523" spans="1:24" s="307" customFormat="1" ht="31.5">
      <c r="A523" s="163" t="s">
        <v>190</v>
      </c>
      <c r="B523" s="55"/>
      <c r="C523" s="80" t="s">
        <v>157</v>
      </c>
      <c r="D523" s="80" t="s">
        <v>123</v>
      </c>
      <c r="E523" s="81" t="s">
        <v>51</v>
      </c>
      <c r="F523" s="76" t="s">
        <v>178</v>
      </c>
      <c r="G523" s="62">
        <f>G524</f>
        <v>273</v>
      </c>
      <c r="H523" s="336"/>
      <c r="I523" s="336"/>
      <c r="J523" s="336"/>
      <c r="K523" s="336"/>
      <c r="L523" s="336"/>
      <c r="M523" s="336"/>
      <c r="N523" s="336"/>
      <c r="O523" s="336"/>
      <c r="P523" s="336"/>
      <c r="Q523" s="337"/>
      <c r="R523" s="336"/>
      <c r="S523" s="336"/>
      <c r="T523" s="336"/>
      <c r="U523" s="336"/>
      <c r="V523" s="336"/>
      <c r="W523" s="62">
        <f>W524</f>
        <v>273</v>
      </c>
      <c r="X523" s="62">
        <f>X524</f>
        <v>0</v>
      </c>
    </row>
    <row r="524" spans="1:24" s="307" customFormat="1" ht="15.75">
      <c r="A524" s="253" t="s">
        <v>191</v>
      </c>
      <c r="B524" s="55"/>
      <c r="C524" s="80" t="s">
        <v>157</v>
      </c>
      <c r="D524" s="80" t="s">
        <v>123</v>
      </c>
      <c r="E524" s="81" t="s">
        <v>51</v>
      </c>
      <c r="F524" s="76" t="s">
        <v>192</v>
      </c>
      <c r="G524" s="62">
        <v>273</v>
      </c>
      <c r="H524" s="336"/>
      <c r="I524" s="336"/>
      <c r="J524" s="336"/>
      <c r="K524" s="336"/>
      <c r="L524" s="336"/>
      <c r="M524" s="336"/>
      <c r="N524" s="336"/>
      <c r="O524" s="336"/>
      <c r="P524" s="336"/>
      <c r="Q524" s="337"/>
      <c r="R524" s="336"/>
      <c r="S524" s="336"/>
      <c r="T524" s="336"/>
      <c r="U524" s="336"/>
      <c r="V524" s="336"/>
      <c r="W524" s="62">
        <v>273</v>
      </c>
      <c r="X524" s="62">
        <f>G524-W524</f>
        <v>0</v>
      </c>
    </row>
    <row r="525" spans="1:24" s="307" customFormat="1" ht="31.5">
      <c r="A525" s="242" t="s">
        <v>491</v>
      </c>
      <c r="B525" s="97"/>
      <c r="C525" s="93" t="s">
        <v>157</v>
      </c>
      <c r="D525" s="93" t="s">
        <v>123</v>
      </c>
      <c r="E525" s="98" t="s">
        <v>83</v>
      </c>
      <c r="F525" s="76"/>
      <c r="G525" s="58">
        <f>G526+G531+G534</f>
        <v>753.6</v>
      </c>
      <c r="H525" s="336"/>
      <c r="I525" s="336"/>
      <c r="J525" s="336"/>
      <c r="K525" s="336"/>
      <c r="L525" s="336"/>
      <c r="M525" s="336"/>
      <c r="N525" s="336"/>
      <c r="O525" s="336"/>
      <c r="P525" s="336"/>
      <c r="Q525" s="337"/>
      <c r="R525" s="336"/>
      <c r="S525" s="336"/>
      <c r="T525" s="336"/>
      <c r="U525" s="336"/>
      <c r="V525" s="336"/>
      <c r="W525" s="58">
        <f>W526+W531+W534</f>
        <v>753.6</v>
      </c>
      <c r="X525" s="58">
        <f>X526+X531+X534</f>
        <v>0</v>
      </c>
    </row>
    <row r="526" spans="1:24" s="307" customFormat="1" ht="15.75">
      <c r="A526" s="238" t="s">
        <v>94</v>
      </c>
      <c r="B526" s="55"/>
      <c r="C526" s="80" t="s">
        <v>157</v>
      </c>
      <c r="D526" s="80" t="s">
        <v>123</v>
      </c>
      <c r="E526" s="81" t="s">
        <v>348</v>
      </c>
      <c r="F526" s="76"/>
      <c r="G526" s="62">
        <f>G529+G527</f>
        <v>40</v>
      </c>
      <c r="H526" s="336"/>
      <c r="I526" s="336"/>
      <c r="J526" s="336"/>
      <c r="K526" s="336"/>
      <c r="L526" s="336"/>
      <c r="M526" s="336"/>
      <c r="N526" s="336"/>
      <c r="O526" s="336"/>
      <c r="P526" s="336"/>
      <c r="Q526" s="337"/>
      <c r="R526" s="336"/>
      <c r="S526" s="336"/>
      <c r="T526" s="336"/>
      <c r="U526" s="336"/>
      <c r="V526" s="336"/>
      <c r="W526" s="62">
        <f>W529+W527</f>
        <v>40</v>
      </c>
      <c r="X526" s="62">
        <f>X529+X527</f>
        <v>0</v>
      </c>
    </row>
    <row r="527" spans="1:24" s="307" customFormat="1" ht="15.75">
      <c r="A527" s="237" t="s">
        <v>226</v>
      </c>
      <c r="B527" s="55"/>
      <c r="C527" s="80" t="s">
        <v>157</v>
      </c>
      <c r="D527" s="80" t="s">
        <v>123</v>
      </c>
      <c r="E527" s="81" t="s">
        <v>348</v>
      </c>
      <c r="F527" s="76" t="s">
        <v>188</v>
      </c>
      <c r="G527" s="62">
        <f>G528</f>
        <v>5</v>
      </c>
      <c r="H527" s="336"/>
      <c r="I527" s="336"/>
      <c r="J527" s="336"/>
      <c r="K527" s="336"/>
      <c r="L527" s="336"/>
      <c r="M527" s="336"/>
      <c r="N527" s="336"/>
      <c r="O527" s="336"/>
      <c r="P527" s="336"/>
      <c r="Q527" s="337"/>
      <c r="R527" s="336"/>
      <c r="S527" s="336"/>
      <c r="T527" s="336"/>
      <c r="U527" s="336"/>
      <c r="V527" s="336"/>
      <c r="W527" s="62">
        <f>W528</f>
        <v>5</v>
      </c>
      <c r="X527" s="62">
        <f>X528</f>
        <v>0</v>
      </c>
    </row>
    <row r="528" spans="1:24" s="307" customFormat="1" ht="15.75">
      <c r="A528" s="237" t="s">
        <v>189</v>
      </c>
      <c r="B528" s="55"/>
      <c r="C528" s="80" t="s">
        <v>157</v>
      </c>
      <c r="D528" s="80" t="s">
        <v>123</v>
      </c>
      <c r="E528" s="81" t="s">
        <v>348</v>
      </c>
      <c r="F528" s="76" t="s">
        <v>187</v>
      </c>
      <c r="G528" s="62">
        <v>5</v>
      </c>
      <c r="H528" s="336"/>
      <c r="I528" s="336"/>
      <c r="J528" s="336"/>
      <c r="K528" s="336"/>
      <c r="L528" s="336"/>
      <c r="M528" s="336"/>
      <c r="N528" s="336"/>
      <c r="O528" s="336"/>
      <c r="P528" s="336"/>
      <c r="Q528" s="337"/>
      <c r="R528" s="336"/>
      <c r="S528" s="336"/>
      <c r="T528" s="336"/>
      <c r="U528" s="336"/>
      <c r="V528" s="336"/>
      <c r="W528" s="62">
        <v>5</v>
      </c>
      <c r="X528" s="62">
        <f>G528-W528</f>
        <v>0</v>
      </c>
    </row>
    <row r="529" spans="1:24" s="307" customFormat="1" ht="31.5">
      <c r="A529" s="163" t="s">
        <v>190</v>
      </c>
      <c r="B529" s="55"/>
      <c r="C529" s="80" t="s">
        <v>157</v>
      </c>
      <c r="D529" s="80" t="s">
        <v>123</v>
      </c>
      <c r="E529" s="81" t="s">
        <v>348</v>
      </c>
      <c r="F529" s="76" t="s">
        <v>178</v>
      </c>
      <c r="G529" s="62">
        <f>G530</f>
        <v>35</v>
      </c>
      <c r="H529" s="336"/>
      <c r="I529" s="336"/>
      <c r="J529" s="336"/>
      <c r="K529" s="336"/>
      <c r="L529" s="336"/>
      <c r="M529" s="336"/>
      <c r="N529" s="336"/>
      <c r="O529" s="336"/>
      <c r="P529" s="336"/>
      <c r="Q529" s="337"/>
      <c r="R529" s="336"/>
      <c r="S529" s="336"/>
      <c r="T529" s="336"/>
      <c r="U529" s="336"/>
      <c r="V529" s="336"/>
      <c r="W529" s="62">
        <f>W530</f>
        <v>35</v>
      </c>
      <c r="X529" s="62">
        <f>X530</f>
        <v>0</v>
      </c>
    </row>
    <row r="530" spans="1:24" s="307" customFormat="1" ht="15.75">
      <c r="A530" s="253" t="s">
        <v>191</v>
      </c>
      <c r="B530" s="55"/>
      <c r="C530" s="80" t="s">
        <v>157</v>
      </c>
      <c r="D530" s="80" t="s">
        <v>123</v>
      </c>
      <c r="E530" s="81" t="s">
        <v>348</v>
      </c>
      <c r="F530" s="76" t="s">
        <v>192</v>
      </c>
      <c r="G530" s="62">
        <v>35</v>
      </c>
      <c r="H530" s="336"/>
      <c r="I530" s="336"/>
      <c r="J530" s="336"/>
      <c r="K530" s="336"/>
      <c r="L530" s="336"/>
      <c r="M530" s="336"/>
      <c r="N530" s="336"/>
      <c r="O530" s="336"/>
      <c r="P530" s="336"/>
      <c r="Q530" s="337"/>
      <c r="R530" s="336"/>
      <c r="S530" s="336"/>
      <c r="T530" s="336"/>
      <c r="U530" s="336"/>
      <c r="V530" s="336"/>
      <c r="W530" s="62">
        <v>35</v>
      </c>
      <c r="X530" s="62">
        <f>G530-W530</f>
        <v>0</v>
      </c>
    </row>
    <row r="531" spans="1:24" s="307" customFormat="1" ht="47.25">
      <c r="A531" s="236" t="s">
        <v>577</v>
      </c>
      <c r="B531" s="55"/>
      <c r="C531" s="80" t="s">
        <v>157</v>
      </c>
      <c r="D531" s="80" t="s">
        <v>123</v>
      </c>
      <c r="E531" s="56" t="s">
        <v>578</v>
      </c>
      <c r="F531" s="56"/>
      <c r="G531" s="62">
        <f>G532</f>
        <v>693.6</v>
      </c>
      <c r="H531" s="336"/>
      <c r="I531" s="336"/>
      <c r="J531" s="336"/>
      <c r="K531" s="336"/>
      <c r="L531" s="336"/>
      <c r="M531" s="336"/>
      <c r="N531" s="336"/>
      <c r="O531" s="336"/>
      <c r="P531" s="336"/>
      <c r="Q531" s="337"/>
      <c r="R531" s="336"/>
      <c r="S531" s="336"/>
      <c r="T531" s="336"/>
      <c r="U531" s="336"/>
      <c r="V531" s="336"/>
      <c r="W531" s="62">
        <f>W532</f>
        <v>693.6</v>
      </c>
      <c r="X531" s="62">
        <f>X532</f>
        <v>0</v>
      </c>
    </row>
    <row r="532" spans="1:24" s="307" customFormat="1" ht="15.75">
      <c r="A532" s="237" t="s">
        <v>226</v>
      </c>
      <c r="B532" s="55"/>
      <c r="C532" s="80" t="s">
        <v>157</v>
      </c>
      <c r="D532" s="80" t="s">
        <v>123</v>
      </c>
      <c r="E532" s="56" t="s">
        <v>578</v>
      </c>
      <c r="F532" s="56" t="s">
        <v>188</v>
      </c>
      <c r="G532" s="62">
        <f>G533</f>
        <v>693.6</v>
      </c>
      <c r="H532" s="336"/>
      <c r="I532" s="336"/>
      <c r="J532" s="336"/>
      <c r="K532" s="336"/>
      <c r="L532" s="336"/>
      <c r="M532" s="336"/>
      <c r="N532" s="336"/>
      <c r="O532" s="336"/>
      <c r="P532" s="336"/>
      <c r="Q532" s="337"/>
      <c r="R532" s="336"/>
      <c r="S532" s="336"/>
      <c r="T532" s="336"/>
      <c r="U532" s="336"/>
      <c r="V532" s="336"/>
      <c r="W532" s="62">
        <f>W533</f>
        <v>693.6</v>
      </c>
      <c r="X532" s="62">
        <f>X533</f>
        <v>0</v>
      </c>
    </row>
    <row r="533" spans="1:24" s="307" customFormat="1" ht="15.75">
      <c r="A533" s="237" t="s">
        <v>189</v>
      </c>
      <c r="B533" s="55"/>
      <c r="C533" s="80" t="s">
        <v>157</v>
      </c>
      <c r="D533" s="80" t="s">
        <v>123</v>
      </c>
      <c r="E533" s="56" t="s">
        <v>578</v>
      </c>
      <c r="F533" s="56" t="s">
        <v>187</v>
      </c>
      <c r="G533" s="62">
        <v>693.6</v>
      </c>
      <c r="H533" s="336"/>
      <c r="I533" s="336"/>
      <c r="J533" s="336"/>
      <c r="K533" s="336"/>
      <c r="L533" s="336"/>
      <c r="M533" s="336"/>
      <c r="N533" s="336"/>
      <c r="O533" s="336"/>
      <c r="P533" s="336"/>
      <c r="Q533" s="337"/>
      <c r="R533" s="336"/>
      <c r="S533" s="336"/>
      <c r="T533" s="336"/>
      <c r="U533" s="336"/>
      <c r="V533" s="336"/>
      <c r="W533" s="62">
        <v>693.6</v>
      </c>
      <c r="X533" s="62">
        <f>G533-W533</f>
        <v>0</v>
      </c>
    </row>
    <row r="534" spans="1:24" s="307" customFormat="1" ht="31.5">
      <c r="A534" s="235" t="s">
        <v>579</v>
      </c>
      <c r="B534" s="55"/>
      <c r="C534" s="80" t="s">
        <v>157</v>
      </c>
      <c r="D534" s="80" t="s">
        <v>123</v>
      </c>
      <c r="E534" s="56" t="s">
        <v>580</v>
      </c>
      <c r="F534" s="56"/>
      <c r="G534" s="62">
        <f>G535</f>
        <v>20</v>
      </c>
      <c r="H534" s="336"/>
      <c r="I534" s="336"/>
      <c r="J534" s="336"/>
      <c r="K534" s="336"/>
      <c r="L534" s="336"/>
      <c r="M534" s="336"/>
      <c r="N534" s="336"/>
      <c r="O534" s="336"/>
      <c r="P534" s="336"/>
      <c r="Q534" s="337"/>
      <c r="R534" s="336"/>
      <c r="S534" s="336"/>
      <c r="T534" s="336"/>
      <c r="U534" s="336"/>
      <c r="V534" s="336"/>
      <c r="W534" s="62">
        <f>W535</f>
        <v>20</v>
      </c>
      <c r="X534" s="62">
        <f>X535</f>
        <v>0</v>
      </c>
    </row>
    <row r="535" spans="1:24" s="307" customFormat="1" ht="15.75">
      <c r="A535" s="237" t="s">
        <v>226</v>
      </c>
      <c r="B535" s="55"/>
      <c r="C535" s="80" t="s">
        <v>157</v>
      </c>
      <c r="D535" s="80" t="s">
        <v>123</v>
      </c>
      <c r="E535" s="56" t="s">
        <v>580</v>
      </c>
      <c r="F535" s="56" t="s">
        <v>188</v>
      </c>
      <c r="G535" s="62">
        <f>G536</f>
        <v>20</v>
      </c>
      <c r="H535" s="336"/>
      <c r="I535" s="336"/>
      <c r="J535" s="336"/>
      <c r="K535" s="336"/>
      <c r="L535" s="336"/>
      <c r="M535" s="336"/>
      <c r="N535" s="336"/>
      <c r="O535" s="336"/>
      <c r="P535" s="336"/>
      <c r="Q535" s="337"/>
      <c r="R535" s="336"/>
      <c r="S535" s="336"/>
      <c r="T535" s="336"/>
      <c r="U535" s="336"/>
      <c r="V535" s="336"/>
      <c r="W535" s="62">
        <f>W536</f>
        <v>20</v>
      </c>
      <c r="X535" s="62">
        <f>X536</f>
        <v>0</v>
      </c>
    </row>
    <row r="536" spans="1:24" s="307" customFormat="1" ht="15.75">
      <c r="A536" s="237" t="s">
        <v>189</v>
      </c>
      <c r="B536" s="55"/>
      <c r="C536" s="80" t="s">
        <v>157</v>
      </c>
      <c r="D536" s="80" t="s">
        <v>123</v>
      </c>
      <c r="E536" s="56" t="s">
        <v>580</v>
      </c>
      <c r="F536" s="56" t="s">
        <v>187</v>
      </c>
      <c r="G536" s="62">
        <v>20</v>
      </c>
      <c r="H536" s="336"/>
      <c r="I536" s="336"/>
      <c r="J536" s="336"/>
      <c r="K536" s="336"/>
      <c r="L536" s="336"/>
      <c r="M536" s="336"/>
      <c r="N536" s="336"/>
      <c r="O536" s="336"/>
      <c r="P536" s="336"/>
      <c r="Q536" s="337"/>
      <c r="R536" s="336"/>
      <c r="S536" s="336"/>
      <c r="T536" s="336"/>
      <c r="U536" s="336"/>
      <c r="V536" s="336"/>
      <c r="W536" s="62">
        <v>20</v>
      </c>
      <c r="X536" s="62">
        <f>G536-W536</f>
        <v>0</v>
      </c>
    </row>
    <row r="537" spans="1:24" s="307" customFormat="1" ht="33" customHeight="1">
      <c r="A537" s="243" t="s">
        <v>581</v>
      </c>
      <c r="B537" s="97"/>
      <c r="C537" s="93" t="s">
        <v>157</v>
      </c>
      <c r="D537" s="93" t="s">
        <v>123</v>
      </c>
      <c r="E537" s="98" t="s">
        <v>342</v>
      </c>
      <c r="F537" s="76"/>
      <c r="G537" s="58">
        <f>G538</f>
        <v>10</v>
      </c>
      <c r="H537" s="336"/>
      <c r="I537" s="336"/>
      <c r="J537" s="336"/>
      <c r="K537" s="336"/>
      <c r="L537" s="336"/>
      <c r="M537" s="336"/>
      <c r="N537" s="336"/>
      <c r="O537" s="336"/>
      <c r="P537" s="336"/>
      <c r="Q537" s="337"/>
      <c r="R537" s="336"/>
      <c r="S537" s="336"/>
      <c r="T537" s="336"/>
      <c r="U537" s="336"/>
      <c r="V537" s="336"/>
      <c r="W537" s="58">
        <f aca="true" t="shared" si="40" ref="W537:X539">W538</f>
        <v>10</v>
      </c>
      <c r="X537" s="58">
        <f t="shared" si="40"/>
        <v>0</v>
      </c>
    </row>
    <row r="538" spans="1:24" s="307" customFormat="1" ht="15.75">
      <c r="A538" s="238" t="s">
        <v>94</v>
      </c>
      <c r="B538" s="97"/>
      <c r="C538" s="80" t="s">
        <v>157</v>
      </c>
      <c r="D538" s="80" t="s">
        <v>123</v>
      </c>
      <c r="E538" s="81" t="s">
        <v>344</v>
      </c>
      <c r="F538" s="76"/>
      <c r="G538" s="62">
        <f>G539</f>
        <v>10</v>
      </c>
      <c r="H538" s="336"/>
      <c r="I538" s="336"/>
      <c r="J538" s="336"/>
      <c r="K538" s="336"/>
      <c r="L538" s="336"/>
      <c r="M538" s="336"/>
      <c r="N538" s="336"/>
      <c r="O538" s="336"/>
      <c r="P538" s="336"/>
      <c r="Q538" s="337"/>
      <c r="R538" s="336"/>
      <c r="S538" s="336"/>
      <c r="T538" s="336"/>
      <c r="U538" s="336"/>
      <c r="V538" s="336"/>
      <c r="W538" s="62">
        <f t="shared" si="40"/>
        <v>10</v>
      </c>
      <c r="X538" s="62">
        <f t="shared" si="40"/>
        <v>0</v>
      </c>
    </row>
    <row r="539" spans="1:24" s="307" customFormat="1" ht="15.75">
      <c r="A539" s="237" t="s">
        <v>226</v>
      </c>
      <c r="B539" s="97"/>
      <c r="C539" s="80" t="s">
        <v>157</v>
      </c>
      <c r="D539" s="80" t="s">
        <v>123</v>
      </c>
      <c r="E539" s="81" t="s">
        <v>344</v>
      </c>
      <c r="F539" s="76" t="s">
        <v>188</v>
      </c>
      <c r="G539" s="62">
        <f>G540</f>
        <v>10</v>
      </c>
      <c r="H539" s="336"/>
      <c r="I539" s="336"/>
      <c r="J539" s="336"/>
      <c r="K539" s="336"/>
      <c r="L539" s="336"/>
      <c r="M539" s="336"/>
      <c r="N539" s="336"/>
      <c r="O539" s="336"/>
      <c r="P539" s="336"/>
      <c r="Q539" s="337"/>
      <c r="R539" s="336"/>
      <c r="S539" s="336"/>
      <c r="T539" s="336"/>
      <c r="U539" s="336"/>
      <c r="V539" s="336"/>
      <c r="W539" s="62">
        <f t="shared" si="40"/>
        <v>10</v>
      </c>
      <c r="X539" s="62">
        <f t="shared" si="40"/>
        <v>0</v>
      </c>
    </row>
    <row r="540" spans="1:24" s="307" customFormat="1" ht="15.75">
      <c r="A540" s="237" t="s">
        <v>189</v>
      </c>
      <c r="B540" s="97"/>
      <c r="C540" s="80" t="s">
        <v>157</v>
      </c>
      <c r="D540" s="80" t="s">
        <v>123</v>
      </c>
      <c r="E540" s="81" t="s">
        <v>344</v>
      </c>
      <c r="F540" s="76" t="s">
        <v>187</v>
      </c>
      <c r="G540" s="62">
        <v>10</v>
      </c>
      <c r="H540" s="336"/>
      <c r="I540" s="336"/>
      <c r="J540" s="336"/>
      <c r="K540" s="336"/>
      <c r="L540" s="336"/>
      <c r="M540" s="336"/>
      <c r="N540" s="336"/>
      <c r="O540" s="336"/>
      <c r="P540" s="336"/>
      <c r="Q540" s="337"/>
      <c r="R540" s="336"/>
      <c r="S540" s="336"/>
      <c r="T540" s="336"/>
      <c r="U540" s="336"/>
      <c r="V540" s="336"/>
      <c r="W540" s="62">
        <v>10</v>
      </c>
      <c r="X540" s="62">
        <f>G540-W540</f>
        <v>0</v>
      </c>
    </row>
    <row r="541" spans="1:24" s="307" customFormat="1" ht="15.75">
      <c r="A541" s="276" t="s">
        <v>182</v>
      </c>
      <c r="B541" s="294"/>
      <c r="C541" s="103" t="s">
        <v>170</v>
      </c>
      <c r="D541" s="295"/>
      <c r="E541" s="296"/>
      <c r="F541" s="295"/>
      <c r="G541" s="104">
        <f>G542</f>
        <v>31368.8</v>
      </c>
      <c r="H541" s="336"/>
      <c r="I541" s="336"/>
      <c r="J541" s="336"/>
      <c r="K541" s="336"/>
      <c r="L541" s="336"/>
      <c r="M541" s="336"/>
      <c r="N541" s="336"/>
      <c r="O541" s="336"/>
      <c r="P541" s="336"/>
      <c r="Q541" s="337"/>
      <c r="R541" s="336"/>
      <c r="S541" s="336"/>
      <c r="T541" s="336"/>
      <c r="U541" s="336"/>
      <c r="V541" s="336"/>
      <c r="W541" s="104">
        <f>W542</f>
        <v>31368.8</v>
      </c>
      <c r="X541" s="104">
        <f>X542</f>
        <v>0</v>
      </c>
    </row>
    <row r="542" spans="1:24" s="307" customFormat="1" ht="15.75">
      <c r="A542" s="252" t="s">
        <v>136</v>
      </c>
      <c r="B542" s="51"/>
      <c r="C542" s="45" t="s">
        <v>170</v>
      </c>
      <c r="D542" s="45" t="s">
        <v>164</v>
      </c>
      <c r="E542" s="52"/>
      <c r="F542" s="57"/>
      <c r="G542" s="58">
        <f>G543+G559</f>
        <v>31368.8</v>
      </c>
      <c r="H542" s="336"/>
      <c r="I542" s="336"/>
      <c r="J542" s="336"/>
      <c r="K542" s="336"/>
      <c r="L542" s="336"/>
      <c r="M542" s="336"/>
      <c r="N542" s="336"/>
      <c r="O542" s="336"/>
      <c r="P542" s="336"/>
      <c r="Q542" s="337"/>
      <c r="R542" s="336"/>
      <c r="S542" s="336"/>
      <c r="T542" s="336"/>
      <c r="U542" s="336"/>
      <c r="V542" s="336"/>
      <c r="W542" s="58">
        <f>W543+W559</f>
        <v>31368.8</v>
      </c>
      <c r="X542" s="58">
        <f>X543+X559</f>
        <v>0</v>
      </c>
    </row>
    <row r="543" spans="1:24" s="307" customFormat="1" ht="19.5" customHeight="1">
      <c r="A543" s="276" t="s">
        <v>317</v>
      </c>
      <c r="B543" s="51"/>
      <c r="C543" s="45" t="s">
        <v>170</v>
      </c>
      <c r="D543" s="45" t="s">
        <v>164</v>
      </c>
      <c r="E543" s="52" t="s">
        <v>74</v>
      </c>
      <c r="F543" s="57"/>
      <c r="G543" s="58">
        <f>G544</f>
        <v>2070</v>
      </c>
      <c r="H543" s="336"/>
      <c r="I543" s="336"/>
      <c r="J543" s="336"/>
      <c r="K543" s="336"/>
      <c r="L543" s="336"/>
      <c r="M543" s="336"/>
      <c r="N543" s="336"/>
      <c r="O543" s="336"/>
      <c r="P543" s="336"/>
      <c r="Q543" s="337"/>
      <c r="R543" s="336"/>
      <c r="S543" s="336"/>
      <c r="T543" s="336"/>
      <c r="U543" s="336"/>
      <c r="V543" s="336"/>
      <c r="W543" s="58">
        <f>W544</f>
        <v>2070</v>
      </c>
      <c r="X543" s="58">
        <f>X544</f>
        <v>0</v>
      </c>
    </row>
    <row r="544" spans="1:24" s="307" customFormat="1" ht="15.75">
      <c r="A544" s="252" t="s">
        <v>514</v>
      </c>
      <c r="B544" s="51"/>
      <c r="C544" s="45" t="s">
        <v>170</v>
      </c>
      <c r="D544" s="45" t="s">
        <v>164</v>
      </c>
      <c r="E544" s="52" t="s">
        <v>76</v>
      </c>
      <c r="F544" s="57"/>
      <c r="G544" s="58">
        <f>G545+G553+G556+G550</f>
        <v>2070</v>
      </c>
      <c r="H544" s="336"/>
      <c r="I544" s="336"/>
      <c r="J544" s="336"/>
      <c r="K544" s="336"/>
      <c r="L544" s="336"/>
      <c r="M544" s="336"/>
      <c r="N544" s="336"/>
      <c r="O544" s="336"/>
      <c r="P544" s="336"/>
      <c r="Q544" s="337"/>
      <c r="R544" s="336"/>
      <c r="S544" s="336"/>
      <c r="T544" s="336"/>
      <c r="U544" s="336"/>
      <c r="V544" s="336"/>
      <c r="W544" s="58">
        <f>W545+W553+W556+W550</f>
        <v>2070</v>
      </c>
      <c r="X544" s="58">
        <f>X545+X553+X556+X550</f>
        <v>0</v>
      </c>
    </row>
    <row r="545" spans="1:24" s="307" customFormat="1" ht="15.75">
      <c r="A545" s="238" t="s">
        <v>97</v>
      </c>
      <c r="B545" s="47"/>
      <c r="C545" s="48" t="s">
        <v>170</v>
      </c>
      <c r="D545" s="48" t="s">
        <v>164</v>
      </c>
      <c r="E545" s="49" t="s">
        <v>77</v>
      </c>
      <c r="F545" s="56"/>
      <c r="G545" s="62">
        <f>G546+G548</f>
        <v>1070</v>
      </c>
      <c r="H545" s="336"/>
      <c r="I545" s="336"/>
      <c r="J545" s="336"/>
      <c r="K545" s="336"/>
      <c r="L545" s="336"/>
      <c r="M545" s="336"/>
      <c r="N545" s="336"/>
      <c r="O545" s="336"/>
      <c r="P545" s="336"/>
      <c r="Q545" s="337"/>
      <c r="R545" s="336"/>
      <c r="S545" s="336"/>
      <c r="T545" s="336"/>
      <c r="U545" s="336"/>
      <c r="V545" s="336"/>
      <c r="W545" s="62">
        <f>W546+W548</f>
        <v>1070</v>
      </c>
      <c r="X545" s="62">
        <f>X546+X548</f>
        <v>0</v>
      </c>
    </row>
    <row r="546" spans="1:24" s="307" customFormat="1" ht="15.75">
      <c r="A546" s="237" t="s">
        <v>226</v>
      </c>
      <c r="B546" s="47"/>
      <c r="C546" s="48" t="s">
        <v>170</v>
      </c>
      <c r="D546" s="48" t="s">
        <v>164</v>
      </c>
      <c r="E546" s="49" t="s">
        <v>77</v>
      </c>
      <c r="F546" s="56" t="s">
        <v>188</v>
      </c>
      <c r="G546" s="62">
        <f>G547</f>
        <v>50</v>
      </c>
      <c r="H546" s="336"/>
      <c r="I546" s="336"/>
      <c r="J546" s="336"/>
      <c r="K546" s="336"/>
      <c r="L546" s="336"/>
      <c r="M546" s="336"/>
      <c r="N546" s="336"/>
      <c r="O546" s="336"/>
      <c r="P546" s="336"/>
      <c r="Q546" s="337"/>
      <c r="R546" s="336"/>
      <c r="S546" s="336"/>
      <c r="T546" s="336"/>
      <c r="U546" s="336"/>
      <c r="V546" s="336"/>
      <c r="W546" s="62">
        <f>W547</f>
        <v>50</v>
      </c>
      <c r="X546" s="62">
        <f>X547</f>
        <v>0</v>
      </c>
    </row>
    <row r="547" spans="1:24" s="307" customFormat="1" ht="15.75">
      <c r="A547" s="237" t="s">
        <v>189</v>
      </c>
      <c r="B547" s="47"/>
      <c r="C547" s="48" t="s">
        <v>170</v>
      </c>
      <c r="D547" s="48" t="s">
        <v>164</v>
      </c>
      <c r="E547" s="49" t="s">
        <v>77</v>
      </c>
      <c r="F547" s="56" t="s">
        <v>187</v>
      </c>
      <c r="G547" s="62">
        <v>50</v>
      </c>
      <c r="H547" s="336"/>
      <c r="I547" s="336"/>
      <c r="J547" s="336"/>
      <c r="K547" s="336"/>
      <c r="L547" s="336"/>
      <c r="M547" s="336"/>
      <c r="N547" s="336"/>
      <c r="O547" s="336"/>
      <c r="P547" s="336"/>
      <c r="Q547" s="337"/>
      <c r="R547" s="336"/>
      <c r="S547" s="336"/>
      <c r="T547" s="336"/>
      <c r="U547" s="336"/>
      <c r="V547" s="336"/>
      <c r="W547" s="62">
        <v>50</v>
      </c>
      <c r="X547" s="62">
        <f>G547-W547</f>
        <v>0</v>
      </c>
    </row>
    <row r="548" spans="1:24" s="307" customFormat="1" ht="22.5" customHeight="1">
      <c r="A548" s="163" t="s">
        <v>190</v>
      </c>
      <c r="B548" s="47"/>
      <c r="C548" s="48" t="s">
        <v>170</v>
      </c>
      <c r="D548" s="48" t="s">
        <v>164</v>
      </c>
      <c r="E548" s="49" t="s">
        <v>77</v>
      </c>
      <c r="F548" s="56" t="s">
        <v>178</v>
      </c>
      <c r="G548" s="62">
        <f>G549</f>
        <v>1020</v>
      </c>
      <c r="H548" s="336"/>
      <c r="I548" s="336"/>
      <c r="J548" s="336"/>
      <c r="K548" s="336"/>
      <c r="L548" s="336"/>
      <c r="M548" s="336"/>
      <c r="N548" s="336"/>
      <c r="O548" s="336"/>
      <c r="P548" s="336"/>
      <c r="Q548" s="337"/>
      <c r="R548" s="336"/>
      <c r="S548" s="336"/>
      <c r="T548" s="336"/>
      <c r="U548" s="336"/>
      <c r="V548" s="336"/>
      <c r="W548" s="62">
        <f>W549</f>
        <v>1020</v>
      </c>
      <c r="X548" s="62">
        <f>X549</f>
        <v>0</v>
      </c>
    </row>
    <row r="549" spans="1:24" s="307" customFormat="1" ht="15.75">
      <c r="A549" s="253" t="s">
        <v>191</v>
      </c>
      <c r="B549" s="47"/>
      <c r="C549" s="48" t="s">
        <v>170</v>
      </c>
      <c r="D549" s="48" t="s">
        <v>164</v>
      </c>
      <c r="E549" s="49" t="s">
        <v>77</v>
      </c>
      <c r="F549" s="56" t="s">
        <v>192</v>
      </c>
      <c r="G549" s="62">
        <f>1020</f>
        <v>1020</v>
      </c>
      <c r="H549" s="336"/>
      <c r="I549" s="336"/>
      <c r="J549" s="336"/>
      <c r="K549" s="336"/>
      <c r="L549" s="336"/>
      <c r="M549" s="336"/>
      <c r="N549" s="336"/>
      <c r="O549" s="336"/>
      <c r="P549" s="336"/>
      <c r="Q549" s="337"/>
      <c r="R549" s="336"/>
      <c r="S549" s="336"/>
      <c r="T549" s="336"/>
      <c r="U549" s="336"/>
      <c r="V549" s="336"/>
      <c r="W549" s="62">
        <f>1020</f>
        <v>1020</v>
      </c>
      <c r="X549" s="62">
        <f>G549-W549</f>
        <v>0</v>
      </c>
    </row>
    <row r="550" spans="1:24" s="307" customFormat="1" ht="15.75">
      <c r="A550" s="253" t="s">
        <v>670</v>
      </c>
      <c r="B550" s="47"/>
      <c r="C550" s="48" t="s">
        <v>170</v>
      </c>
      <c r="D550" s="48" t="s">
        <v>164</v>
      </c>
      <c r="E550" s="49" t="s">
        <v>669</v>
      </c>
      <c r="F550" s="56"/>
      <c r="G550" s="62">
        <f>G551</f>
        <v>500</v>
      </c>
      <c r="H550" s="336"/>
      <c r="I550" s="336"/>
      <c r="J550" s="336"/>
      <c r="K550" s="336"/>
      <c r="L550" s="336"/>
      <c r="M550" s="336"/>
      <c r="N550" s="336"/>
      <c r="O550" s="336"/>
      <c r="P550" s="336"/>
      <c r="Q550" s="337"/>
      <c r="R550" s="336"/>
      <c r="S550" s="336"/>
      <c r="T550" s="336"/>
      <c r="U550" s="336"/>
      <c r="V550" s="336"/>
      <c r="W550" s="62">
        <f>W551</f>
        <v>500</v>
      </c>
      <c r="X550" s="62">
        <f>X551</f>
        <v>0</v>
      </c>
    </row>
    <row r="551" spans="1:24" s="307" customFormat="1" ht="18" customHeight="1">
      <c r="A551" s="163" t="s">
        <v>190</v>
      </c>
      <c r="B551" s="47"/>
      <c r="C551" s="48" t="s">
        <v>170</v>
      </c>
      <c r="D551" s="48" t="s">
        <v>164</v>
      </c>
      <c r="E551" s="49" t="s">
        <v>669</v>
      </c>
      <c r="F551" s="56" t="s">
        <v>178</v>
      </c>
      <c r="G551" s="62">
        <f>G552</f>
        <v>500</v>
      </c>
      <c r="H551" s="336"/>
      <c r="I551" s="336"/>
      <c r="J551" s="336"/>
      <c r="K551" s="336"/>
      <c r="L551" s="336"/>
      <c r="M551" s="336"/>
      <c r="N551" s="336"/>
      <c r="O551" s="336"/>
      <c r="P551" s="336"/>
      <c r="Q551" s="337"/>
      <c r="R551" s="336"/>
      <c r="S551" s="336"/>
      <c r="T551" s="336"/>
      <c r="U551" s="336"/>
      <c r="V551" s="336"/>
      <c r="W551" s="62">
        <f>W552</f>
        <v>500</v>
      </c>
      <c r="X551" s="62">
        <f>X552</f>
        <v>0</v>
      </c>
    </row>
    <row r="552" spans="1:24" s="307" customFormat="1" ht="15.75">
      <c r="A552" s="253" t="s">
        <v>191</v>
      </c>
      <c r="B552" s="47"/>
      <c r="C552" s="48" t="s">
        <v>170</v>
      </c>
      <c r="D552" s="48" t="s">
        <v>164</v>
      </c>
      <c r="E552" s="49" t="s">
        <v>669</v>
      </c>
      <c r="F552" s="56" t="s">
        <v>192</v>
      </c>
      <c r="G552" s="62">
        <v>500</v>
      </c>
      <c r="H552" s="336"/>
      <c r="I552" s="336"/>
      <c r="J552" s="336"/>
      <c r="K552" s="336"/>
      <c r="L552" s="336"/>
      <c r="M552" s="336"/>
      <c r="N552" s="336"/>
      <c r="O552" s="336"/>
      <c r="P552" s="336"/>
      <c r="Q552" s="337"/>
      <c r="R552" s="336"/>
      <c r="S552" s="336"/>
      <c r="T552" s="336"/>
      <c r="U552" s="336"/>
      <c r="V552" s="336"/>
      <c r="W552" s="62">
        <v>500</v>
      </c>
      <c r="X552" s="62">
        <f>G552-W552</f>
        <v>0</v>
      </c>
    </row>
    <row r="553" spans="1:24" s="307" customFormat="1" ht="15.75">
      <c r="A553" s="253" t="s">
        <v>503</v>
      </c>
      <c r="B553" s="47"/>
      <c r="C553" s="48" t="s">
        <v>170</v>
      </c>
      <c r="D553" s="48" t="s">
        <v>164</v>
      </c>
      <c r="E553" s="49" t="s">
        <v>502</v>
      </c>
      <c r="F553" s="56"/>
      <c r="G553" s="62">
        <f>G554</f>
        <v>100</v>
      </c>
      <c r="H553" s="336"/>
      <c r="I553" s="336"/>
      <c r="J553" s="336"/>
      <c r="K553" s="336"/>
      <c r="L553" s="336"/>
      <c r="M553" s="336"/>
      <c r="N553" s="336"/>
      <c r="O553" s="336"/>
      <c r="P553" s="336"/>
      <c r="Q553" s="337"/>
      <c r="R553" s="336"/>
      <c r="S553" s="336"/>
      <c r="T553" s="336"/>
      <c r="U553" s="336"/>
      <c r="V553" s="336"/>
      <c r="W553" s="62">
        <f>W554</f>
        <v>100</v>
      </c>
      <c r="X553" s="62">
        <f>X554</f>
        <v>0</v>
      </c>
    </row>
    <row r="554" spans="1:24" s="307" customFormat="1" ht="31.5">
      <c r="A554" s="163" t="s">
        <v>190</v>
      </c>
      <c r="B554" s="47"/>
      <c r="C554" s="48" t="s">
        <v>170</v>
      </c>
      <c r="D554" s="48" t="s">
        <v>164</v>
      </c>
      <c r="E554" s="49" t="s">
        <v>502</v>
      </c>
      <c r="F554" s="56" t="s">
        <v>178</v>
      </c>
      <c r="G554" s="62">
        <f>G555</f>
        <v>100</v>
      </c>
      <c r="H554" s="336"/>
      <c r="I554" s="336"/>
      <c r="J554" s="336"/>
      <c r="K554" s="336"/>
      <c r="L554" s="336"/>
      <c r="M554" s="336"/>
      <c r="N554" s="336"/>
      <c r="O554" s="336"/>
      <c r="P554" s="336"/>
      <c r="Q554" s="337"/>
      <c r="R554" s="336"/>
      <c r="S554" s="336"/>
      <c r="T554" s="336"/>
      <c r="U554" s="336"/>
      <c r="V554" s="336"/>
      <c r="W554" s="62">
        <f>W555</f>
        <v>100</v>
      </c>
      <c r="X554" s="62">
        <f>X555</f>
        <v>0</v>
      </c>
    </row>
    <row r="555" spans="1:24" s="307" customFormat="1" ht="15.75">
      <c r="A555" s="253" t="s">
        <v>191</v>
      </c>
      <c r="B555" s="47"/>
      <c r="C555" s="48" t="s">
        <v>170</v>
      </c>
      <c r="D555" s="48" t="s">
        <v>164</v>
      </c>
      <c r="E555" s="49" t="s">
        <v>502</v>
      </c>
      <c r="F555" s="56" t="s">
        <v>192</v>
      </c>
      <c r="G555" s="62">
        <v>100</v>
      </c>
      <c r="H555" s="336"/>
      <c r="I555" s="336"/>
      <c r="J555" s="336"/>
      <c r="K555" s="336"/>
      <c r="L555" s="336"/>
      <c r="M555" s="336"/>
      <c r="N555" s="336"/>
      <c r="O555" s="336"/>
      <c r="P555" s="336"/>
      <c r="Q555" s="337"/>
      <c r="R555" s="336"/>
      <c r="S555" s="336"/>
      <c r="T555" s="336"/>
      <c r="U555" s="336"/>
      <c r="V555" s="336"/>
      <c r="W555" s="62">
        <v>100</v>
      </c>
      <c r="X555" s="62">
        <f>G555-W555</f>
        <v>0</v>
      </c>
    </row>
    <row r="556" spans="1:24" s="307" customFormat="1" ht="15.75">
      <c r="A556" s="238" t="s">
        <v>395</v>
      </c>
      <c r="B556" s="47"/>
      <c r="C556" s="48" t="s">
        <v>170</v>
      </c>
      <c r="D556" s="48" t="s">
        <v>164</v>
      </c>
      <c r="E556" s="49" t="s">
        <v>394</v>
      </c>
      <c r="F556" s="56"/>
      <c r="G556" s="62">
        <f>G557</f>
        <v>400</v>
      </c>
      <c r="H556" s="336"/>
      <c r="I556" s="336"/>
      <c r="J556" s="336"/>
      <c r="K556" s="336"/>
      <c r="L556" s="336"/>
      <c r="M556" s="336"/>
      <c r="N556" s="336"/>
      <c r="O556" s="336"/>
      <c r="P556" s="336"/>
      <c r="Q556" s="337"/>
      <c r="R556" s="336"/>
      <c r="S556" s="336"/>
      <c r="T556" s="336"/>
      <c r="U556" s="336"/>
      <c r="V556" s="336"/>
      <c r="W556" s="62">
        <f>W557</f>
        <v>400</v>
      </c>
      <c r="X556" s="62">
        <f>X557</f>
        <v>0</v>
      </c>
    </row>
    <row r="557" spans="1:24" s="307" customFormat="1" ht="24" customHeight="1">
      <c r="A557" s="163" t="s">
        <v>190</v>
      </c>
      <c r="B557" s="47"/>
      <c r="C557" s="48" t="s">
        <v>170</v>
      </c>
      <c r="D557" s="48" t="s">
        <v>164</v>
      </c>
      <c r="E557" s="49" t="s">
        <v>394</v>
      </c>
      <c r="F557" s="56" t="s">
        <v>178</v>
      </c>
      <c r="G557" s="62">
        <f>G558</f>
        <v>400</v>
      </c>
      <c r="H557" s="336"/>
      <c r="I557" s="336"/>
      <c r="J557" s="336"/>
      <c r="K557" s="336"/>
      <c r="L557" s="336"/>
      <c r="M557" s="336"/>
      <c r="N557" s="336"/>
      <c r="O557" s="336"/>
      <c r="P557" s="336"/>
      <c r="Q557" s="337"/>
      <c r="R557" s="336"/>
      <c r="S557" s="336"/>
      <c r="T557" s="336"/>
      <c r="U557" s="336"/>
      <c r="V557" s="336"/>
      <c r="W557" s="62">
        <f>W558</f>
        <v>400</v>
      </c>
      <c r="X557" s="62">
        <f>X558</f>
        <v>0</v>
      </c>
    </row>
    <row r="558" spans="1:24" s="307" customFormat="1" ht="15.75">
      <c r="A558" s="253" t="s">
        <v>191</v>
      </c>
      <c r="B558" s="47"/>
      <c r="C558" s="48" t="s">
        <v>170</v>
      </c>
      <c r="D558" s="48" t="s">
        <v>164</v>
      </c>
      <c r="E558" s="49" t="s">
        <v>394</v>
      </c>
      <c r="F558" s="56" t="s">
        <v>192</v>
      </c>
      <c r="G558" s="62">
        <v>400</v>
      </c>
      <c r="H558" s="336"/>
      <c r="I558" s="336"/>
      <c r="J558" s="336"/>
      <c r="K558" s="336"/>
      <c r="L558" s="336"/>
      <c r="M558" s="336"/>
      <c r="N558" s="336"/>
      <c r="O558" s="336"/>
      <c r="P558" s="336"/>
      <c r="Q558" s="337"/>
      <c r="R558" s="336"/>
      <c r="S558" s="336"/>
      <c r="T558" s="336"/>
      <c r="U558" s="336"/>
      <c r="V558" s="336"/>
      <c r="W558" s="62">
        <v>400</v>
      </c>
      <c r="X558" s="62">
        <f>G558-W558</f>
        <v>0</v>
      </c>
    </row>
    <row r="559" spans="1:24" s="307" customFormat="1" ht="15.75">
      <c r="A559" s="276" t="s">
        <v>512</v>
      </c>
      <c r="B559" s="51"/>
      <c r="C559" s="45" t="s">
        <v>170</v>
      </c>
      <c r="D559" s="45" t="s">
        <v>164</v>
      </c>
      <c r="E559" s="52" t="s">
        <v>511</v>
      </c>
      <c r="F559" s="57"/>
      <c r="G559" s="58">
        <f>G560</f>
        <v>29298.8</v>
      </c>
      <c r="H559" s="336"/>
      <c r="I559" s="336"/>
      <c r="J559" s="336"/>
      <c r="K559" s="336"/>
      <c r="L559" s="336"/>
      <c r="M559" s="336"/>
      <c r="N559" s="336"/>
      <c r="O559" s="336"/>
      <c r="P559" s="336"/>
      <c r="Q559" s="337"/>
      <c r="R559" s="336"/>
      <c r="S559" s="336"/>
      <c r="T559" s="336"/>
      <c r="U559" s="336"/>
      <c r="V559" s="336"/>
      <c r="W559" s="58">
        <f aca="true" t="shared" si="41" ref="W559:X562">W560</f>
        <v>29298.8</v>
      </c>
      <c r="X559" s="58">
        <f t="shared" si="41"/>
        <v>0</v>
      </c>
    </row>
    <row r="560" spans="1:24" s="307" customFormat="1" ht="15.75">
      <c r="A560" s="252" t="s">
        <v>513</v>
      </c>
      <c r="B560" s="51"/>
      <c r="C560" s="45" t="s">
        <v>170</v>
      </c>
      <c r="D560" s="45" t="s">
        <v>164</v>
      </c>
      <c r="E560" s="52" t="s">
        <v>281</v>
      </c>
      <c r="F560" s="57"/>
      <c r="G560" s="58">
        <f>G561</f>
        <v>29298.8</v>
      </c>
      <c r="H560" s="336"/>
      <c r="I560" s="336"/>
      <c r="J560" s="336"/>
      <c r="K560" s="336"/>
      <c r="L560" s="336"/>
      <c r="M560" s="336"/>
      <c r="N560" s="336"/>
      <c r="O560" s="336"/>
      <c r="P560" s="336"/>
      <c r="Q560" s="337"/>
      <c r="R560" s="336"/>
      <c r="S560" s="336"/>
      <c r="T560" s="336"/>
      <c r="U560" s="336"/>
      <c r="V560" s="336"/>
      <c r="W560" s="58">
        <f t="shared" si="41"/>
        <v>29298.8</v>
      </c>
      <c r="X560" s="58">
        <f t="shared" si="41"/>
        <v>0</v>
      </c>
    </row>
    <row r="561" spans="1:24" s="307" customFormat="1" ht="35.25" customHeight="1">
      <c r="A561" s="238" t="s">
        <v>647</v>
      </c>
      <c r="B561" s="47"/>
      <c r="C561" s="48" t="s">
        <v>170</v>
      </c>
      <c r="D561" s="48" t="s">
        <v>164</v>
      </c>
      <c r="E561" s="49" t="s">
        <v>646</v>
      </c>
      <c r="F561" s="56"/>
      <c r="G561" s="62">
        <f>G562</f>
        <v>29298.8</v>
      </c>
      <c r="H561" s="336"/>
      <c r="I561" s="336"/>
      <c r="J561" s="336"/>
      <c r="K561" s="336"/>
      <c r="L561" s="336"/>
      <c r="M561" s="336"/>
      <c r="N561" s="336"/>
      <c r="O561" s="336"/>
      <c r="P561" s="336"/>
      <c r="Q561" s="337"/>
      <c r="R561" s="336"/>
      <c r="S561" s="336"/>
      <c r="T561" s="336"/>
      <c r="U561" s="336"/>
      <c r="V561" s="336"/>
      <c r="W561" s="62">
        <f t="shared" si="41"/>
        <v>29298.8</v>
      </c>
      <c r="X561" s="62">
        <f t="shared" si="41"/>
        <v>0</v>
      </c>
    </row>
    <row r="562" spans="1:24" s="307" customFormat="1" ht="22.5" customHeight="1">
      <c r="A562" s="163" t="s">
        <v>190</v>
      </c>
      <c r="B562" s="47"/>
      <c r="C562" s="48" t="s">
        <v>170</v>
      </c>
      <c r="D562" s="48" t="s">
        <v>164</v>
      </c>
      <c r="E562" s="49" t="s">
        <v>646</v>
      </c>
      <c r="F562" s="56" t="s">
        <v>178</v>
      </c>
      <c r="G562" s="62">
        <f>G563</f>
        <v>29298.8</v>
      </c>
      <c r="H562" s="336"/>
      <c r="I562" s="336"/>
      <c r="J562" s="336"/>
      <c r="K562" s="336"/>
      <c r="L562" s="336"/>
      <c r="M562" s="336"/>
      <c r="N562" s="336"/>
      <c r="O562" s="336"/>
      <c r="P562" s="336"/>
      <c r="Q562" s="337"/>
      <c r="R562" s="336"/>
      <c r="S562" s="336"/>
      <c r="T562" s="336"/>
      <c r="U562" s="336"/>
      <c r="V562" s="336"/>
      <c r="W562" s="62">
        <f t="shared" si="41"/>
        <v>29298.8</v>
      </c>
      <c r="X562" s="62">
        <f t="shared" si="41"/>
        <v>0</v>
      </c>
    </row>
    <row r="563" spans="1:24" s="307" customFormat="1" ht="15.75">
      <c r="A563" s="253" t="s">
        <v>191</v>
      </c>
      <c r="B563" s="47"/>
      <c r="C563" s="48" t="s">
        <v>170</v>
      </c>
      <c r="D563" s="48" t="s">
        <v>164</v>
      </c>
      <c r="E563" s="49" t="s">
        <v>646</v>
      </c>
      <c r="F563" s="56" t="s">
        <v>192</v>
      </c>
      <c r="G563" s="62">
        <v>29298.8</v>
      </c>
      <c r="H563" s="336"/>
      <c r="I563" s="336"/>
      <c r="J563" s="336"/>
      <c r="K563" s="336"/>
      <c r="L563" s="336"/>
      <c r="M563" s="336"/>
      <c r="N563" s="336"/>
      <c r="O563" s="336"/>
      <c r="P563" s="336"/>
      <c r="Q563" s="337"/>
      <c r="R563" s="336"/>
      <c r="S563" s="336"/>
      <c r="T563" s="336"/>
      <c r="U563" s="336"/>
      <c r="V563" s="336"/>
      <c r="W563" s="62">
        <v>29298.8</v>
      </c>
      <c r="X563" s="62">
        <f>G563-W563</f>
        <v>0</v>
      </c>
    </row>
    <row r="564" spans="1:24" ht="15.75">
      <c r="A564" s="234" t="s">
        <v>166</v>
      </c>
      <c r="B564" s="51"/>
      <c r="C564" s="45" t="s">
        <v>129</v>
      </c>
      <c r="D564" s="48"/>
      <c r="E564" s="49"/>
      <c r="F564" s="297"/>
      <c r="G564" s="58">
        <f>G565+G598</f>
        <v>54602.033</v>
      </c>
      <c r="W564" s="58">
        <f>W565+W598</f>
        <v>54842.033</v>
      </c>
      <c r="X564" s="58">
        <f>X565+X598</f>
        <v>-240</v>
      </c>
    </row>
    <row r="565" spans="1:24" ht="15.75">
      <c r="A565" s="269" t="s">
        <v>240</v>
      </c>
      <c r="B565" s="204"/>
      <c r="C565" s="93" t="s">
        <v>129</v>
      </c>
      <c r="D565" s="93" t="s">
        <v>158</v>
      </c>
      <c r="E565" s="81"/>
      <c r="F565" s="208"/>
      <c r="G565" s="58">
        <f>G566</f>
        <v>52975.033</v>
      </c>
      <c r="W565" s="58">
        <f>W566</f>
        <v>52975.033</v>
      </c>
      <c r="X565" s="58">
        <f>X566</f>
        <v>0</v>
      </c>
    </row>
    <row r="566" spans="1:24" ht="24.75" customHeight="1">
      <c r="A566" s="276" t="s">
        <v>479</v>
      </c>
      <c r="B566" s="51"/>
      <c r="C566" s="93" t="s">
        <v>129</v>
      </c>
      <c r="D566" s="93" t="s">
        <v>158</v>
      </c>
      <c r="E566" s="52" t="s">
        <v>74</v>
      </c>
      <c r="F566" s="57"/>
      <c r="G566" s="58">
        <f>G567</f>
        <v>52975.033</v>
      </c>
      <c r="W566" s="58">
        <f>W567</f>
        <v>52975.033</v>
      </c>
      <c r="X566" s="58">
        <f>X567</f>
        <v>0</v>
      </c>
    </row>
    <row r="567" spans="1:24" ht="34.5" customHeight="1">
      <c r="A567" s="234" t="s">
        <v>427</v>
      </c>
      <c r="B567" s="51"/>
      <c r="C567" s="45" t="s">
        <v>129</v>
      </c>
      <c r="D567" s="45" t="s">
        <v>158</v>
      </c>
      <c r="E567" s="52" t="s">
        <v>300</v>
      </c>
      <c r="F567" s="57"/>
      <c r="G567" s="58">
        <f>G568+G571+G574+G577+G580+G583+G586+G589+G592+G595</f>
        <v>52975.033</v>
      </c>
      <c r="W567" s="58">
        <f>W568+W571+W574+W577+W580+W583+W586+W589+W592+W595</f>
        <v>52975.033</v>
      </c>
      <c r="X567" s="58">
        <f>X568+X571+X574+X577+X580+X583+X586+X589+X592+X595</f>
        <v>0</v>
      </c>
    </row>
    <row r="568" spans="1:24" s="16" customFormat="1" ht="15.75">
      <c r="A568" s="268" t="s">
        <v>104</v>
      </c>
      <c r="B568" s="47"/>
      <c r="C568" s="48" t="s">
        <v>129</v>
      </c>
      <c r="D568" s="48" t="s">
        <v>158</v>
      </c>
      <c r="E568" s="49" t="s">
        <v>301</v>
      </c>
      <c r="F568" s="56"/>
      <c r="G568" s="62">
        <f>G569</f>
        <v>45030.4</v>
      </c>
      <c r="H568" s="293"/>
      <c r="I568" s="293"/>
      <c r="J568" s="293"/>
      <c r="K568" s="293"/>
      <c r="L568" s="293"/>
      <c r="M568" s="293"/>
      <c r="N568" s="293"/>
      <c r="O568" s="293"/>
      <c r="P568" s="293"/>
      <c r="Q568" s="222"/>
      <c r="R568" s="293"/>
      <c r="S568" s="293"/>
      <c r="T568" s="293"/>
      <c r="U568" s="293"/>
      <c r="V568" s="293"/>
      <c r="W568" s="62">
        <f>W569</f>
        <v>45030.4</v>
      </c>
      <c r="X568" s="62">
        <f>X569</f>
        <v>0</v>
      </c>
    </row>
    <row r="569" spans="1:24" ht="31.5">
      <c r="A569" s="163" t="s">
        <v>190</v>
      </c>
      <c r="B569" s="47"/>
      <c r="C569" s="48" t="s">
        <v>129</v>
      </c>
      <c r="D569" s="48" t="s">
        <v>158</v>
      </c>
      <c r="E569" s="49" t="s">
        <v>301</v>
      </c>
      <c r="F569" s="56" t="s">
        <v>178</v>
      </c>
      <c r="G569" s="62">
        <f>G570</f>
        <v>45030.4</v>
      </c>
      <c r="W569" s="62">
        <f>W570</f>
        <v>45030.4</v>
      </c>
      <c r="X569" s="62">
        <f>X570</f>
        <v>0</v>
      </c>
    </row>
    <row r="570" spans="1:24" s="10" customFormat="1" ht="15.75">
      <c r="A570" s="253" t="s">
        <v>191</v>
      </c>
      <c r="B570" s="47"/>
      <c r="C570" s="48" t="s">
        <v>129</v>
      </c>
      <c r="D570" s="48" t="s">
        <v>158</v>
      </c>
      <c r="E570" s="49" t="s">
        <v>301</v>
      </c>
      <c r="F570" s="56" t="s">
        <v>192</v>
      </c>
      <c r="G570" s="62">
        <v>45030.4</v>
      </c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62">
        <v>45030.4</v>
      </c>
      <c r="X570" s="62">
        <f>G570-W570</f>
        <v>0</v>
      </c>
    </row>
    <row r="571" spans="1:24" s="10" customFormat="1" ht="15.75">
      <c r="A571" s="257" t="s">
        <v>216</v>
      </c>
      <c r="B571" s="47"/>
      <c r="C571" s="48" t="s">
        <v>129</v>
      </c>
      <c r="D571" s="48" t="s">
        <v>158</v>
      </c>
      <c r="E571" s="49" t="s">
        <v>302</v>
      </c>
      <c r="F571" s="56"/>
      <c r="G571" s="62">
        <f>G572</f>
        <v>228.6</v>
      </c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62">
        <f>W572</f>
        <v>228.6</v>
      </c>
      <c r="X571" s="62">
        <f>X572</f>
        <v>0</v>
      </c>
    </row>
    <row r="572" spans="1:24" s="10" customFormat="1" ht="17.25" customHeight="1">
      <c r="A572" s="163" t="s">
        <v>190</v>
      </c>
      <c r="B572" s="47"/>
      <c r="C572" s="48" t="s">
        <v>129</v>
      </c>
      <c r="D572" s="48" t="s">
        <v>158</v>
      </c>
      <c r="E572" s="49" t="s">
        <v>302</v>
      </c>
      <c r="F572" s="56" t="s">
        <v>178</v>
      </c>
      <c r="G572" s="62">
        <f>G573</f>
        <v>228.6</v>
      </c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62">
        <f>W573</f>
        <v>228.6</v>
      </c>
      <c r="X572" s="62">
        <f>X573</f>
        <v>0</v>
      </c>
    </row>
    <row r="573" spans="1:24" s="10" customFormat="1" ht="15.75">
      <c r="A573" s="253" t="s">
        <v>191</v>
      </c>
      <c r="B573" s="47"/>
      <c r="C573" s="48" t="s">
        <v>129</v>
      </c>
      <c r="D573" s="48" t="s">
        <v>158</v>
      </c>
      <c r="E573" s="49" t="s">
        <v>302</v>
      </c>
      <c r="F573" s="56" t="s">
        <v>192</v>
      </c>
      <c r="G573" s="62">
        <v>228.6</v>
      </c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62">
        <v>228.6</v>
      </c>
      <c r="X573" s="62">
        <f>G573-W573</f>
        <v>0</v>
      </c>
    </row>
    <row r="574" spans="1:24" ht="15.75">
      <c r="A574" s="273" t="s">
        <v>105</v>
      </c>
      <c r="B574" s="47"/>
      <c r="C574" s="48" t="s">
        <v>129</v>
      </c>
      <c r="D574" s="48" t="s">
        <v>158</v>
      </c>
      <c r="E574" s="49" t="s">
        <v>303</v>
      </c>
      <c r="F574" s="56"/>
      <c r="G574" s="62">
        <f>G575</f>
        <v>530</v>
      </c>
      <c r="W574" s="62">
        <f>W575</f>
        <v>530</v>
      </c>
      <c r="X574" s="62">
        <f>X575</f>
        <v>0</v>
      </c>
    </row>
    <row r="575" spans="1:24" ht="31.5">
      <c r="A575" s="163" t="s">
        <v>190</v>
      </c>
      <c r="B575" s="47"/>
      <c r="C575" s="48" t="s">
        <v>129</v>
      </c>
      <c r="D575" s="48" t="s">
        <v>158</v>
      </c>
      <c r="E575" s="49" t="s">
        <v>303</v>
      </c>
      <c r="F575" s="56" t="s">
        <v>178</v>
      </c>
      <c r="G575" s="62">
        <f>G576</f>
        <v>530</v>
      </c>
      <c r="W575" s="62">
        <f>W576</f>
        <v>530</v>
      </c>
      <c r="X575" s="62">
        <f>X576</f>
        <v>0</v>
      </c>
    </row>
    <row r="576" spans="1:24" s="16" customFormat="1" ht="15.75">
      <c r="A576" s="253" t="s">
        <v>191</v>
      </c>
      <c r="B576" s="47"/>
      <c r="C576" s="48" t="s">
        <v>129</v>
      </c>
      <c r="D576" s="48" t="s">
        <v>158</v>
      </c>
      <c r="E576" s="49" t="s">
        <v>303</v>
      </c>
      <c r="F576" s="56" t="s">
        <v>192</v>
      </c>
      <c r="G576" s="62">
        <v>530</v>
      </c>
      <c r="H576" s="293"/>
      <c r="I576" s="293"/>
      <c r="J576" s="293"/>
      <c r="K576" s="293"/>
      <c r="L576" s="293"/>
      <c r="M576" s="293"/>
      <c r="N576" s="293"/>
      <c r="O576" s="293"/>
      <c r="P576" s="293"/>
      <c r="Q576" s="222"/>
      <c r="R576" s="293"/>
      <c r="S576" s="293"/>
      <c r="T576" s="293"/>
      <c r="U576" s="293"/>
      <c r="V576" s="293"/>
      <c r="W576" s="62">
        <v>530</v>
      </c>
      <c r="X576" s="62">
        <f>G576-W576</f>
        <v>0</v>
      </c>
    </row>
    <row r="577" spans="1:24" ht="18.75" customHeight="1">
      <c r="A577" s="257" t="s">
        <v>266</v>
      </c>
      <c r="B577" s="66"/>
      <c r="C577" s="48" t="s">
        <v>129</v>
      </c>
      <c r="D577" s="48" t="s">
        <v>158</v>
      </c>
      <c r="E577" s="49" t="s">
        <v>306</v>
      </c>
      <c r="F577" s="56"/>
      <c r="G577" s="62">
        <f>G578</f>
        <v>148</v>
      </c>
      <c r="W577" s="62">
        <f>W578</f>
        <v>148</v>
      </c>
      <c r="X577" s="62">
        <f>X578</f>
        <v>0</v>
      </c>
    </row>
    <row r="578" spans="1:24" ht="31.5">
      <c r="A578" s="163" t="s">
        <v>190</v>
      </c>
      <c r="B578" s="66"/>
      <c r="C578" s="48" t="s">
        <v>129</v>
      </c>
      <c r="D578" s="48" t="s">
        <v>158</v>
      </c>
      <c r="E578" s="49" t="s">
        <v>306</v>
      </c>
      <c r="F578" s="56" t="s">
        <v>178</v>
      </c>
      <c r="G578" s="62">
        <f>G579</f>
        <v>148</v>
      </c>
      <c r="W578" s="62">
        <f>W579</f>
        <v>148</v>
      </c>
      <c r="X578" s="62">
        <f>X579</f>
        <v>0</v>
      </c>
    </row>
    <row r="579" spans="1:24" s="16" customFormat="1" ht="15.75">
      <c r="A579" s="253" t="s">
        <v>191</v>
      </c>
      <c r="B579" s="66"/>
      <c r="C579" s="48" t="s">
        <v>129</v>
      </c>
      <c r="D579" s="48" t="s">
        <v>158</v>
      </c>
      <c r="E579" s="49" t="s">
        <v>306</v>
      </c>
      <c r="F579" s="56" t="s">
        <v>192</v>
      </c>
      <c r="G579" s="62">
        <v>148</v>
      </c>
      <c r="H579" s="293"/>
      <c r="I579" s="293"/>
      <c r="J579" s="293"/>
      <c r="K579" s="293"/>
      <c r="L579" s="293"/>
      <c r="M579" s="293"/>
      <c r="N579" s="293"/>
      <c r="O579" s="293"/>
      <c r="P579" s="293"/>
      <c r="Q579" s="222"/>
      <c r="R579" s="293"/>
      <c r="S579" s="293"/>
      <c r="T579" s="293"/>
      <c r="U579" s="293"/>
      <c r="V579" s="293"/>
      <c r="W579" s="62">
        <v>148</v>
      </c>
      <c r="X579" s="62">
        <f>G579-W579</f>
        <v>0</v>
      </c>
    </row>
    <row r="580" spans="1:24" ht="18.75" customHeight="1">
      <c r="A580" s="257" t="s">
        <v>268</v>
      </c>
      <c r="B580" s="66"/>
      <c r="C580" s="48" t="s">
        <v>129</v>
      </c>
      <c r="D580" s="48" t="s">
        <v>158</v>
      </c>
      <c r="E580" s="49" t="s">
        <v>304</v>
      </c>
      <c r="F580" s="56"/>
      <c r="G580" s="62">
        <f>G581</f>
        <v>554</v>
      </c>
      <c r="W580" s="62">
        <f>W581</f>
        <v>554</v>
      </c>
      <c r="X580" s="62">
        <f>X581</f>
        <v>0</v>
      </c>
    </row>
    <row r="581" spans="1:24" ht="31.5">
      <c r="A581" s="163" t="s">
        <v>190</v>
      </c>
      <c r="B581" s="66"/>
      <c r="C581" s="48" t="s">
        <v>129</v>
      </c>
      <c r="D581" s="48" t="s">
        <v>158</v>
      </c>
      <c r="E581" s="49" t="s">
        <v>304</v>
      </c>
      <c r="F581" s="56" t="s">
        <v>178</v>
      </c>
      <c r="G581" s="62">
        <f>G582</f>
        <v>554</v>
      </c>
      <c r="W581" s="62">
        <f>W582</f>
        <v>554</v>
      </c>
      <c r="X581" s="62">
        <f>X582</f>
        <v>0</v>
      </c>
    </row>
    <row r="582" spans="1:24" s="16" customFormat="1" ht="15.75">
      <c r="A582" s="253" t="s">
        <v>191</v>
      </c>
      <c r="B582" s="66"/>
      <c r="C582" s="48" t="s">
        <v>129</v>
      </c>
      <c r="D582" s="48" t="s">
        <v>158</v>
      </c>
      <c r="E582" s="49" t="s">
        <v>304</v>
      </c>
      <c r="F582" s="56" t="s">
        <v>192</v>
      </c>
      <c r="G582" s="62">
        <v>554</v>
      </c>
      <c r="H582" s="293"/>
      <c r="I582" s="293"/>
      <c r="J582" s="293"/>
      <c r="K582" s="293"/>
      <c r="L582" s="293"/>
      <c r="M582" s="293"/>
      <c r="N582" s="293"/>
      <c r="O582" s="293"/>
      <c r="P582" s="293"/>
      <c r="Q582" s="222"/>
      <c r="R582" s="293"/>
      <c r="S582" s="293"/>
      <c r="T582" s="293"/>
      <c r="U582" s="293"/>
      <c r="V582" s="293"/>
      <c r="W582" s="62">
        <v>554</v>
      </c>
      <c r="X582" s="62">
        <f>G582-W582</f>
        <v>0</v>
      </c>
    </row>
    <row r="583" spans="1:24" ht="15.75">
      <c r="A583" s="257" t="s">
        <v>269</v>
      </c>
      <c r="B583" s="66"/>
      <c r="C583" s="48" t="s">
        <v>129</v>
      </c>
      <c r="D583" s="48" t="s">
        <v>158</v>
      </c>
      <c r="E583" s="49" t="s">
        <v>305</v>
      </c>
      <c r="F583" s="56"/>
      <c r="G583" s="62">
        <f>G584</f>
        <v>120.9</v>
      </c>
      <c r="W583" s="62">
        <f>W584</f>
        <v>120.9</v>
      </c>
      <c r="X583" s="62">
        <f>X584</f>
        <v>0</v>
      </c>
    </row>
    <row r="584" spans="1:24" ht="31.5">
      <c r="A584" s="163" t="s">
        <v>190</v>
      </c>
      <c r="B584" s="66"/>
      <c r="C584" s="48" t="s">
        <v>129</v>
      </c>
      <c r="D584" s="48" t="s">
        <v>158</v>
      </c>
      <c r="E584" s="49" t="s">
        <v>305</v>
      </c>
      <c r="F584" s="56" t="s">
        <v>178</v>
      </c>
      <c r="G584" s="62">
        <f>G585</f>
        <v>120.9</v>
      </c>
      <c r="W584" s="62">
        <f>W585</f>
        <v>120.9</v>
      </c>
      <c r="X584" s="62">
        <f>X585</f>
        <v>0</v>
      </c>
    </row>
    <row r="585" spans="1:24" ht="15.75">
      <c r="A585" s="253" t="s">
        <v>191</v>
      </c>
      <c r="B585" s="66"/>
      <c r="C585" s="48" t="s">
        <v>129</v>
      </c>
      <c r="D585" s="48" t="s">
        <v>158</v>
      </c>
      <c r="E585" s="49" t="s">
        <v>305</v>
      </c>
      <c r="F585" s="56" t="s">
        <v>192</v>
      </c>
      <c r="G585" s="62">
        <v>120.9</v>
      </c>
      <c r="W585" s="62">
        <v>120.9</v>
      </c>
      <c r="X585" s="62">
        <f>G585-W585</f>
        <v>0</v>
      </c>
    </row>
    <row r="586" spans="1:24" ht="31.5">
      <c r="A586" s="235" t="s">
        <v>559</v>
      </c>
      <c r="B586" s="66"/>
      <c r="C586" s="48" t="s">
        <v>129</v>
      </c>
      <c r="D586" s="48" t="s">
        <v>158</v>
      </c>
      <c r="E586" s="56" t="s">
        <v>560</v>
      </c>
      <c r="F586" s="56"/>
      <c r="G586" s="62">
        <f>G587</f>
        <v>100</v>
      </c>
      <c r="W586" s="62">
        <f>W587</f>
        <v>100</v>
      </c>
      <c r="X586" s="62">
        <f>X587</f>
        <v>0</v>
      </c>
    </row>
    <row r="587" spans="1:24" ht="31.5">
      <c r="A587" s="163" t="s">
        <v>190</v>
      </c>
      <c r="B587" s="66"/>
      <c r="C587" s="48" t="s">
        <v>129</v>
      </c>
      <c r="D587" s="48" t="s">
        <v>158</v>
      </c>
      <c r="E587" s="56" t="s">
        <v>560</v>
      </c>
      <c r="F587" s="56" t="s">
        <v>178</v>
      </c>
      <c r="G587" s="62">
        <f>G588</f>
        <v>100</v>
      </c>
      <c r="W587" s="62">
        <f>W588</f>
        <v>100</v>
      </c>
      <c r="X587" s="62">
        <f>X588</f>
        <v>0</v>
      </c>
    </row>
    <row r="588" spans="1:24" ht="15.75">
      <c r="A588" s="235" t="s">
        <v>191</v>
      </c>
      <c r="B588" s="66"/>
      <c r="C588" s="48" t="s">
        <v>129</v>
      </c>
      <c r="D588" s="48" t="s">
        <v>158</v>
      </c>
      <c r="E588" s="56" t="s">
        <v>560</v>
      </c>
      <c r="F588" s="56" t="s">
        <v>192</v>
      </c>
      <c r="G588" s="62">
        <v>100</v>
      </c>
      <c r="W588" s="62">
        <v>100</v>
      </c>
      <c r="X588" s="62">
        <f>G588-W588</f>
        <v>0</v>
      </c>
    </row>
    <row r="589" spans="1:24" ht="15.75">
      <c r="A589" s="235" t="s">
        <v>561</v>
      </c>
      <c r="B589" s="66"/>
      <c r="C589" s="48" t="s">
        <v>129</v>
      </c>
      <c r="D589" s="48" t="s">
        <v>158</v>
      </c>
      <c r="E589" s="56" t="s">
        <v>562</v>
      </c>
      <c r="F589" s="56"/>
      <c r="G589" s="62">
        <f>G590</f>
        <v>222.5</v>
      </c>
      <c r="W589" s="62">
        <f>W590</f>
        <v>222.5</v>
      </c>
      <c r="X589" s="62">
        <f>X590</f>
        <v>0</v>
      </c>
    </row>
    <row r="590" spans="1:24" ht="31.5">
      <c r="A590" s="163" t="s">
        <v>190</v>
      </c>
      <c r="B590" s="66"/>
      <c r="C590" s="48" t="s">
        <v>129</v>
      </c>
      <c r="D590" s="48" t="s">
        <v>158</v>
      </c>
      <c r="E590" s="56" t="s">
        <v>562</v>
      </c>
      <c r="F590" s="56" t="s">
        <v>178</v>
      </c>
      <c r="G590" s="62">
        <f>G591</f>
        <v>222.5</v>
      </c>
      <c r="W590" s="62">
        <f>W591</f>
        <v>222.5</v>
      </c>
      <c r="X590" s="62">
        <f>X591</f>
        <v>0</v>
      </c>
    </row>
    <row r="591" spans="1:24" ht="15.75">
      <c r="A591" s="235" t="s">
        <v>191</v>
      </c>
      <c r="B591" s="66"/>
      <c r="C591" s="48" t="s">
        <v>129</v>
      </c>
      <c r="D591" s="48" t="s">
        <v>158</v>
      </c>
      <c r="E591" s="56" t="s">
        <v>562</v>
      </c>
      <c r="F591" s="56" t="s">
        <v>192</v>
      </c>
      <c r="G591" s="62">
        <v>222.5</v>
      </c>
      <c r="W591" s="62">
        <v>222.5</v>
      </c>
      <c r="X591" s="62">
        <f>G591-W591</f>
        <v>0</v>
      </c>
    </row>
    <row r="592" spans="1:24" ht="63">
      <c r="A592" s="263" t="s">
        <v>365</v>
      </c>
      <c r="B592" s="66"/>
      <c r="C592" s="48" t="s">
        <v>129</v>
      </c>
      <c r="D592" s="48" t="s">
        <v>158</v>
      </c>
      <c r="E592" s="56" t="s">
        <v>364</v>
      </c>
      <c r="F592" s="56"/>
      <c r="G592" s="62">
        <f>G593</f>
        <v>5900.633</v>
      </c>
      <c r="W592" s="62">
        <f>W593</f>
        <v>5900.633</v>
      </c>
      <c r="X592" s="62">
        <f>X593</f>
        <v>0</v>
      </c>
    </row>
    <row r="593" spans="1:24" ht="31.5">
      <c r="A593" s="163" t="s">
        <v>190</v>
      </c>
      <c r="B593" s="66"/>
      <c r="C593" s="48" t="s">
        <v>129</v>
      </c>
      <c r="D593" s="48" t="s">
        <v>158</v>
      </c>
      <c r="E593" s="56" t="s">
        <v>364</v>
      </c>
      <c r="F593" s="56" t="s">
        <v>178</v>
      </c>
      <c r="G593" s="62">
        <f>G594</f>
        <v>5900.633</v>
      </c>
      <c r="W593" s="62">
        <f>W594</f>
        <v>5900.633</v>
      </c>
      <c r="X593" s="62">
        <f>X594</f>
        <v>0</v>
      </c>
    </row>
    <row r="594" spans="1:24" ht="15.75">
      <c r="A594" s="253" t="s">
        <v>191</v>
      </c>
      <c r="B594" s="66"/>
      <c r="C594" s="48" t="s">
        <v>129</v>
      </c>
      <c r="D594" s="48" t="s">
        <v>158</v>
      </c>
      <c r="E594" s="56" t="s">
        <v>364</v>
      </c>
      <c r="F594" s="56" t="s">
        <v>192</v>
      </c>
      <c r="G594" s="62">
        <f>5369.533+404.2+126.9</f>
        <v>5900.633</v>
      </c>
      <c r="W594" s="62">
        <f>5369.533+404.2+126.9</f>
        <v>5900.633</v>
      </c>
      <c r="X594" s="62">
        <f>G594-W594</f>
        <v>0</v>
      </c>
    </row>
    <row r="595" spans="1:24" ht="63">
      <c r="A595" s="264" t="s">
        <v>249</v>
      </c>
      <c r="B595" s="86"/>
      <c r="C595" s="80" t="s">
        <v>129</v>
      </c>
      <c r="D595" s="80" t="s">
        <v>158</v>
      </c>
      <c r="E595" s="81" t="s">
        <v>307</v>
      </c>
      <c r="F595" s="76"/>
      <c r="G595" s="70">
        <f>G596</f>
        <v>140</v>
      </c>
      <c r="W595" s="70">
        <f>W596</f>
        <v>140</v>
      </c>
      <c r="X595" s="70">
        <f>X596</f>
        <v>0</v>
      </c>
    </row>
    <row r="596" spans="1:24" ht="31.5">
      <c r="A596" s="260" t="s">
        <v>190</v>
      </c>
      <c r="B596" s="86"/>
      <c r="C596" s="80" t="s">
        <v>129</v>
      </c>
      <c r="D596" s="80" t="s">
        <v>158</v>
      </c>
      <c r="E596" s="81" t="s">
        <v>307</v>
      </c>
      <c r="F596" s="76" t="s">
        <v>178</v>
      </c>
      <c r="G596" s="70">
        <f>G597</f>
        <v>140</v>
      </c>
      <c r="W596" s="70">
        <f>W597</f>
        <v>140</v>
      </c>
      <c r="X596" s="70">
        <f>X597</f>
        <v>0</v>
      </c>
    </row>
    <row r="597" spans="1:24" ht="15.75">
      <c r="A597" s="261" t="s">
        <v>191</v>
      </c>
      <c r="B597" s="86"/>
      <c r="C597" s="80" t="s">
        <v>129</v>
      </c>
      <c r="D597" s="80" t="s">
        <v>158</v>
      </c>
      <c r="E597" s="81" t="s">
        <v>307</v>
      </c>
      <c r="F597" s="76" t="s">
        <v>192</v>
      </c>
      <c r="G597" s="70">
        <f>150-10</f>
        <v>140</v>
      </c>
      <c r="W597" s="70">
        <f>150-10</f>
        <v>140</v>
      </c>
      <c r="X597" s="62">
        <f>G597-W597</f>
        <v>0</v>
      </c>
    </row>
    <row r="598" spans="1:24" ht="15.75">
      <c r="A598" s="234" t="s">
        <v>233</v>
      </c>
      <c r="B598" s="51"/>
      <c r="C598" s="45" t="s">
        <v>129</v>
      </c>
      <c r="D598" s="45" t="s">
        <v>129</v>
      </c>
      <c r="E598" s="52"/>
      <c r="F598" s="57"/>
      <c r="G598" s="58">
        <f>G599</f>
        <v>1627</v>
      </c>
      <c r="W598" s="58">
        <f>W599</f>
        <v>1867</v>
      </c>
      <c r="X598" s="58">
        <f>X599</f>
        <v>-240</v>
      </c>
    </row>
    <row r="599" spans="1:24" ht="15.75">
      <c r="A599" s="252" t="s">
        <v>550</v>
      </c>
      <c r="B599" s="51"/>
      <c r="C599" s="45" t="s">
        <v>129</v>
      </c>
      <c r="D599" s="45" t="s">
        <v>129</v>
      </c>
      <c r="E599" s="52" t="s">
        <v>337</v>
      </c>
      <c r="F599" s="57"/>
      <c r="G599" s="58">
        <f>G600+G607+G610+G613</f>
        <v>1627</v>
      </c>
      <c r="W599" s="58">
        <f>W600+W607+W610+W613</f>
        <v>1867</v>
      </c>
      <c r="X599" s="58">
        <f>X600+X607+X610+X613</f>
        <v>-240</v>
      </c>
    </row>
    <row r="600" spans="1:24" ht="15.75">
      <c r="A600" s="268" t="s">
        <v>98</v>
      </c>
      <c r="B600" s="66"/>
      <c r="C600" s="48" t="s">
        <v>129</v>
      </c>
      <c r="D600" s="48" t="s">
        <v>129</v>
      </c>
      <c r="E600" s="49" t="s">
        <v>352</v>
      </c>
      <c r="F600" s="56"/>
      <c r="G600" s="62">
        <f>G602+G604+G606</f>
        <v>1047</v>
      </c>
      <c r="W600" s="62">
        <f>W602+W604+W606</f>
        <v>1287</v>
      </c>
      <c r="X600" s="62">
        <f>X602+X604+X606</f>
        <v>-240</v>
      </c>
    </row>
    <row r="601" spans="1:24" ht="47.25">
      <c r="A601" s="237" t="s">
        <v>116</v>
      </c>
      <c r="B601" s="66"/>
      <c r="C601" s="48" t="s">
        <v>129</v>
      </c>
      <c r="D601" s="48" t="s">
        <v>129</v>
      </c>
      <c r="E601" s="49" t="s">
        <v>352</v>
      </c>
      <c r="F601" s="56" t="s">
        <v>198</v>
      </c>
      <c r="G601" s="62">
        <f>G602</f>
        <v>140</v>
      </c>
      <c r="W601" s="62">
        <f>W602</f>
        <v>140</v>
      </c>
      <c r="X601" s="62">
        <f>X602</f>
        <v>0</v>
      </c>
    </row>
    <row r="602" spans="1:24" ht="15.75">
      <c r="A602" s="257" t="s">
        <v>193</v>
      </c>
      <c r="B602" s="66"/>
      <c r="C602" s="48" t="s">
        <v>129</v>
      </c>
      <c r="D602" s="48" t="s">
        <v>129</v>
      </c>
      <c r="E602" s="49" t="s">
        <v>352</v>
      </c>
      <c r="F602" s="56" t="s">
        <v>194</v>
      </c>
      <c r="G602" s="62">
        <v>140</v>
      </c>
      <c r="W602" s="62">
        <v>140</v>
      </c>
      <c r="X602" s="62">
        <f>G602-W602</f>
        <v>0</v>
      </c>
    </row>
    <row r="603" spans="1:24" ht="15.75">
      <c r="A603" s="237" t="s">
        <v>226</v>
      </c>
      <c r="B603" s="66"/>
      <c r="C603" s="48" t="s">
        <v>129</v>
      </c>
      <c r="D603" s="48" t="s">
        <v>129</v>
      </c>
      <c r="E603" s="49" t="s">
        <v>352</v>
      </c>
      <c r="F603" s="56" t="s">
        <v>188</v>
      </c>
      <c r="G603" s="62">
        <f>G604</f>
        <v>523</v>
      </c>
      <c r="W603" s="62">
        <f>W604</f>
        <v>763</v>
      </c>
      <c r="X603" s="62">
        <f>X604</f>
        <v>-240</v>
      </c>
    </row>
    <row r="604" spans="1:24" ht="15.75">
      <c r="A604" s="257" t="s">
        <v>189</v>
      </c>
      <c r="B604" s="66"/>
      <c r="C604" s="48" t="s">
        <v>129</v>
      </c>
      <c r="D604" s="48" t="s">
        <v>129</v>
      </c>
      <c r="E604" s="49" t="s">
        <v>352</v>
      </c>
      <c r="F604" s="56" t="s">
        <v>187</v>
      </c>
      <c r="G604" s="62">
        <f>263+500-240</f>
        <v>523</v>
      </c>
      <c r="W604" s="62">
        <f>263+500</f>
        <v>763</v>
      </c>
      <c r="X604" s="62">
        <f>G604-W604</f>
        <v>-240</v>
      </c>
    </row>
    <row r="605" spans="1:24" ht="31.5">
      <c r="A605" s="163" t="s">
        <v>190</v>
      </c>
      <c r="B605" s="66"/>
      <c r="C605" s="48" t="s">
        <v>129</v>
      </c>
      <c r="D605" s="48" t="s">
        <v>129</v>
      </c>
      <c r="E605" s="49" t="s">
        <v>352</v>
      </c>
      <c r="F605" s="56" t="s">
        <v>178</v>
      </c>
      <c r="G605" s="62">
        <f>G606</f>
        <v>384</v>
      </c>
      <c r="W605" s="62">
        <f>W606</f>
        <v>384</v>
      </c>
      <c r="X605" s="62">
        <f>X606</f>
        <v>0</v>
      </c>
    </row>
    <row r="606" spans="1:24" ht="15.75">
      <c r="A606" s="253" t="s">
        <v>191</v>
      </c>
      <c r="B606" s="66"/>
      <c r="C606" s="48" t="s">
        <v>129</v>
      </c>
      <c r="D606" s="48" t="s">
        <v>129</v>
      </c>
      <c r="E606" s="49" t="s">
        <v>352</v>
      </c>
      <c r="F606" s="56" t="s">
        <v>192</v>
      </c>
      <c r="G606" s="62">
        <v>384</v>
      </c>
      <c r="W606" s="62">
        <v>384</v>
      </c>
      <c r="X606" s="62">
        <f>G606-W606</f>
        <v>0</v>
      </c>
    </row>
    <row r="607" spans="1:24" ht="15.75">
      <c r="A607" s="300" t="s">
        <v>555</v>
      </c>
      <c r="B607" s="66"/>
      <c r="C607" s="48" t="s">
        <v>129</v>
      </c>
      <c r="D607" s="48" t="s">
        <v>129</v>
      </c>
      <c r="E607" s="56" t="s">
        <v>554</v>
      </c>
      <c r="F607" s="56"/>
      <c r="G607" s="62">
        <f>G608</f>
        <v>30</v>
      </c>
      <c r="W607" s="62">
        <f>W608</f>
        <v>30</v>
      </c>
      <c r="X607" s="62">
        <f>X608</f>
        <v>0</v>
      </c>
    </row>
    <row r="608" spans="1:24" ht="31.5">
      <c r="A608" s="163" t="s">
        <v>190</v>
      </c>
      <c r="B608" s="66"/>
      <c r="C608" s="48" t="s">
        <v>129</v>
      </c>
      <c r="D608" s="48" t="s">
        <v>129</v>
      </c>
      <c r="E608" s="76" t="s">
        <v>554</v>
      </c>
      <c r="F608" s="76" t="s">
        <v>178</v>
      </c>
      <c r="G608" s="62">
        <f>G609</f>
        <v>30</v>
      </c>
      <c r="W608" s="62">
        <f>W609</f>
        <v>30</v>
      </c>
      <c r="X608" s="62">
        <f>X609</f>
        <v>0</v>
      </c>
    </row>
    <row r="609" spans="1:24" ht="15.75">
      <c r="A609" s="253" t="s">
        <v>191</v>
      </c>
      <c r="B609" s="66"/>
      <c r="C609" s="48" t="s">
        <v>129</v>
      </c>
      <c r="D609" s="48" t="s">
        <v>129</v>
      </c>
      <c r="E609" s="76" t="s">
        <v>554</v>
      </c>
      <c r="F609" s="76" t="s">
        <v>192</v>
      </c>
      <c r="G609" s="62">
        <v>30</v>
      </c>
      <c r="W609" s="62">
        <v>30</v>
      </c>
      <c r="X609" s="62">
        <f>G609-W609</f>
        <v>0</v>
      </c>
    </row>
    <row r="610" spans="1:24" ht="31.5">
      <c r="A610" s="235" t="s">
        <v>563</v>
      </c>
      <c r="B610" s="66"/>
      <c r="C610" s="48" t="s">
        <v>129</v>
      </c>
      <c r="D610" s="48" t="s">
        <v>129</v>
      </c>
      <c r="E610" s="49" t="s">
        <v>564</v>
      </c>
      <c r="F610" s="56"/>
      <c r="G610" s="62">
        <f>G611</f>
        <v>110</v>
      </c>
      <c r="W610" s="62">
        <f>W611</f>
        <v>110</v>
      </c>
      <c r="X610" s="62">
        <f>X611</f>
        <v>0</v>
      </c>
    </row>
    <row r="611" spans="1:24" s="307" customFormat="1" ht="27" customHeight="1">
      <c r="A611" s="163" t="s">
        <v>190</v>
      </c>
      <c r="B611" s="66"/>
      <c r="C611" s="48" t="s">
        <v>129</v>
      </c>
      <c r="D611" s="48" t="s">
        <v>129</v>
      </c>
      <c r="E611" s="49" t="s">
        <v>564</v>
      </c>
      <c r="F611" s="56" t="s">
        <v>188</v>
      </c>
      <c r="G611" s="62">
        <f>G612</f>
        <v>110</v>
      </c>
      <c r="H611" s="336"/>
      <c r="I611" s="336"/>
      <c r="J611" s="336"/>
      <c r="K611" s="336"/>
      <c r="L611" s="336"/>
      <c r="M611" s="336"/>
      <c r="N611" s="336"/>
      <c r="O611" s="336"/>
      <c r="P611" s="336"/>
      <c r="Q611" s="337"/>
      <c r="R611" s="336"/>
      <c r="S611" s="336"/>
      <c r="T611" s="336"/>
      <c r="U611" s="336"/>
      <c r="V611" s="336"/>
      <c r="W611" s="62">
        <f>W612</f>
        <v>110</v>
      </c>
      <c r="X611" s="62">
        <f>X612</f>
        <v>0</v>
      </c>
    </row>
    <row r="612" spans="1:24" s="307" customFormat="1" ht="15.75">
      <c r="A612" s="253" t="s">
        <v>191</v>
      </c>
      <c r="B612" s="66"/>
      <c r="C612" s="48" t="s">
        <v>129</v>
      </c>
      <c r="D612" s="48" t="s">
        <v>129</v>
      </c>
      <c r="E612" s="49" t="s">
        <v>564</v>
      </c>
      <c r="F612" s="56" t="s">
        <v>187</v>
      </c>
      <c r="G612" s="62">
        <v>110</v>
      </c>
      <c r="H612" s="336"/>
      <c r="I612" s="336"/>
      <c r="J612" s="336"/>
      <c r="K612" s="336"/>
      <c r="L612" s="336"/>
      <c r="M612" s="336"/>
      <c r="N612" s="336"/>
      <c r="O612" s="336"/>
      <c r="P612" s="336"/>
      <c r="Q612" s="337"/>
      <c r="R612" s="336"/>
      <c r="S612" s="336"/>
      <c r="T612" s="336"/>
      <c r="U612" s="336"/>
      <c r="V612" s="336"/>
      <c r="W612" s="62">
        <v>110</v>
      </c>
      <c r="X612" s="62">
        <f>G612-W612</f>
        <v>0</v>
      </c>
    </row>
    <row r="613" spans="1:24" s="307" customFormat="1" ht="15.75">
      <c r="A613" s="277" t="s">
        <v>309</v>
      </c>
      <c r="B613" s="66"/>
      <c r="C613" s="48" t="s">
        <v>129</v>
      </c>
      <c r="D613" s="48" t="s">
        <v>129</v>
      </c>
      <c r="E613" s="49" t="s">
        <v>372</v>
      </c>
      <c r="F613" s="56"/>
      <c r="G613" s="62">
        <f>G614</f>
        <v>440</v>
      </c>
      <c r="H613" s="336"/>
      <c r="I613" s="336"/>
      <c r="J613" s="336"/>
      <c r="K613" s="336"/>
      <c r="L613" s="336"/>
      <c r="M613" s="336"/>
      <c r="N613" s="336"/>
      <c r="O613" s="336"/>
      <c r="P613" s="336"/>
      <c r="Q613" s="337"/>
      <c r="R613" s="336"/>
      <c r="S613" s="336"/>
      <c r="T613" s="336"/>
      <c r="U613" s="336"/>
      <c r="V613" s="336"/>
      <c r="W613" s="62">
        <f>W614</f>
        <v>440</v>
      </c>
      <c r="X613" s="62">
        <f>X614</f>
        <v>0</v>
      </c>
    </row>
    <row r="614" spans="1:24" s="307" customFormat="1" ht="31.5">
      <c r="A614" s="163" t="s">
        <v>190</v>
      </c>
      <c r="B614" s="66"/>
      <c r="C614" s="48" t="s">
        <v>129</v>
      </c>
      <c r="D614" s="48" t="s">
        <v>129</v>
      </c>
      <c r="E614" s="49" t="s">
        <v>372</v>
      </c>
      <c r="F614" s="56" t="s">
        <v>178</v>
      </c>
      <c r="G614" s="62">
        <f>G615</f>
        <v>440</v>
      </c>
      <c r="H614" s="336"/>
      <c r="I614" s="336"/>
      <c r="J614" s="336"/>
      <c r="K614" s="336"/>
      <c r="L614" s="336"/>
      <c r="M614" s="336"/>
      <c r="N614" s="336"/>
      <c r="O614" s="336"/>
      <c r="P614" s="336"/>
      <c r="Q614" s="337"/>
      <c r="R614" s="336"/>
      <c r="S614" s="336"/>
      <c r="T614" s="336"/>
      <c r="U614" s="336"/>
      <c r="V614" s="336"/>
      <c r="W614" s="62">
        <f>W615</f>
        <v>440</v>
      </c>
      <c r="X614" s="62">
        <f>X615</f>
        <v>0</v>
      </c>
    </row>
    <row r="615" spans="1:24" s="308" customFormat="1" ht="16.5" customHeight="1">
      <c r="A615" s="253" t="s">
        <v>191</v>
      </c>
      <c r="B615" s="66"/>
      <c r="C615" s="48" t="s">
        <v>129</v>
      </c>
      <c r="D615" s="48" t="s">
        <v>129</v>
      </c>
      <c r="E615" s="49" t="s">
        <v>372</v>
      </c>
      <c r="F615" s="56" t="s">
        <v>192</v>
      </c>
      <c r="G615" s="62">
        <v>440</v>
      </c>
      <c r="H615" s="337"/>
      <c r="I615" s="337"/>
      <c r="J615" s="337"/>
      <c r="K615" s="337"/>
      <c r="L615" s="337"/>
      <c r="M615" s="337"/>
      <c r="N615" s="337"/>
      <c r="O615" s="337"/>
      <c r="P615" s="337"/>
      <c r="Q615" s="337"/>
      <c r="R615" s="337"/>
      <c r="S615" s="337"/>
      <c r="T615" s="337"/>
      <c r="U615" s="337"/>
      <c r="V615" s="337"/>
      <c r="W615" s="62">
        <v>440</v>
      </c>
      <c r="X615" s="62">
        <f>G615-W615</f>
        <v>0</v>
      </c>
    </row>
    <row r="616" spans="1:24" s="307" customFormat="1" ht="15.75">
      <c r="A616" s="278" t="s">
        <v>256</v>
      </c>
      <c r="B616" s="51"/>
      <c r="C616" s="45" t="s">
        <v>160</v>
      </c>
      <c r="D616" s="45"/>
      <c r="E616" s="52"/>
      <c r="F616" s="57"/>
      <c r="G616" s="58">
        <f>G617</f>
        <v>277781.42000000004</v>
      </c>
      <c r="H616" s="336"/>
      <c r="I616" s="336"/>
      <c r="J616" s="336"/>
      <c r="K616" s="336"/>
      <c r="L616" s="336"/>
      <c r="M616" s="336"/>
      <c r="N616" s="336"/>
      <c r="O616" s="336"/>
      <c r="P616" s="336"/>
      <c r="Q616" s="337"/>
      <c r="R616" s="336"/>
      <c r="S616" s="336"/>
      <c r="T616" s="336"/>
      <c r="U616" s="336"/>
      <c r="V616" s="336"/>
      <c r="W616" s="58">
        <f>W617</f>
        <v>278031.42000000004</v>
      </c>
      <c r="X616" s="58">
        <f>X617</f>
        <v>-250</v>
      </c>
    </row>
    <row r="617" spans="1:24" s="307" customFormat="1" ht="15.75">
      <c r="A617" s="278" t="s">
        <v>161</v>
      </c>
      <c r="B617" s="51"/>
      <c r="C617" s="45" t="s">
        <v>160</v>
      </c>
      <c r="D617" s="45" t="s">
        <v>157</v>
      </c>
      <c r="E617" s="52"/>
      <c r="F617" s="57"/>
      <c r="G617" s="58">
        <f>G618+G665</f>
        <v>277781.42000000004</v>
      </c>
      <c r="H617" s="336"/>
      <c r="I617" s="336"/>
      <c r="J617" s="336"/>
      <c r="K617" s="336"/>
      <c r="L617" s="336"/>
      <c r="M617" s="336"/>
      <c r="N617" s="336"/>
      <c r="O617" s="336"/>
      <c r="P617" s="336"/>
      <c r="Q617" s="337"/>
      <c r="R617" s="336"/>
      <c r="S617" s="336"/>
      <c r="T617" s="336"/>
      <c r="U617" s="336"/>
      <c r="V617" s="336"/>
      <c r="W617" s="58">
        <f>W618+W665</f>
        <v>278031.42000000004</v>
      </c>
      <c r="X617" s="58">
        <f>X618+X665</f>
        <v>-250</v>
      </c>
    </row>
    <row r="618" spans="1:24" s="307" customFormat="1" ht="15.75" customHeight="1">
      <c r="A618" s="276" t="s">
        <v>479</v>
      </c>
      <c r="B618" s="47"/>
      <c r="C618" s="45" t="s">
        <v>160</v>
      </c>
      <c r="D618" s="45" t="s">
        <v>157</v>
      </c>
      <c r="E618" s="52" t="s">
        <v>74</v>
      </c>
      <c r="F618" s="57"/>
      <c r="G618" s="58">
        <f>G619</f>
        <v>147196.80000000002</v>
      </c>
      <c r="H618" s="336"/>
      <c r="I618" s="336"/>
      <c r="J618" s="336"/>
      <c r="K618" s="336"/>
      <c r="L618" s="336"/>
      <c r="M618" s="336"/>
      <c r="N618" s="336"/>
      <c r="O618" s="336"/>
      <c r="P618" s="336"/>
      <c r="Q618" s="337"/>
      <c r="R618" s="336"/>
      <c r="S618" s="336"/>
      <c r="T618" s="336"/>
      <c r="U618" s="336"/>
      <c r="V618" s="336"/>
      <c r="W618" s="58">
        <f>W619</f>
        <v>147446.80000000002</v>
      </c>
      <c r="X618" s="58">
        <f>X619</f>
        <v>-250</v>
      </c>
    </row>
    <row r="619" spans="1:24" s="307" customFormat="1" ht="15.75">
      <c r="A619" s="279" t="s">
        <v>480</v>
      </c>
      <c r="B619" s="51"/>
      <c r="C619" s="45" t="s">
        <v>160</v>
      </c>
      <c r="D619" s="45" t="s">
        <v>157</v>
      </c>
      <c r="E619" s="57" t="s">
        <v>75</v>
      </c>
      <c r="F619" s="56"/>
      <c r="G619" s="58">
        <f>G620+G623+G626+G629+G632+G635+G638+G641+G644+G647+G650+G653+G656+G659+G662</f>
        <v>147196.80000000002</v>
      </c>
      <c r="H619" s="336"/>
      <c r="I619" s="336"/>
      <c r="J619" s="336"/>
      <c r="K619" s="336"/>
      <c r="L619" s="336"/>
      <c r="M619" s="336"/>
      <c r="N619" s="336"/>
      <c r="O619" s="336"/>
      <c r="P619" s="336"/>
      <c r="Q619" s="337"/>
      <c r="R619" s="336"/>
      <c r="S619" s="336"/>
      <c r="T619" s="336"/>
      <c r="U619" s="336"/>
      <c r="V619" s="336"/>
      <c r="W619" s="58">
        <f>W620+W623+W626+W629+W632+W635+W638+W641+W644+W647+W650+W653+W656+W659+W662</f>
        <v>147446.80000000002</v>
      </c>
      <c r="X619" s="58">
        <f>X620+X623+X626+X629+X632+X635+X638+X641+X644+X647+X650+X653+X656+X659+X662</f>
        <v>-250</v>
      </c>
    </row>
    <row r="620" spans="1:24" s="307" customFormat="1" ht="15.75">
      <c r="A620" s="280" t="s">
        <v>292</v>
      </c>
      <c r="B620" s="47"/>
      <c r="C620" s="48" t="s">
        <v>160</v>
      </c>
      <c r="D620" s="48" t="s">
        <v>157</v>
      </c>
      <c r="E620" s="56" t="s">
        <v>223</v>
      </c>
      <c r="F620" s="56"/>
      <c r="G620" s="62">
        <f>G621</f>
        <v>112073.4</v>
      </c>
      <c r="H620" s="336"/>
      <c r="I620" s="336"/>
      <c r="J620" s="336"/>
      <c r="K620" s="336"/>
      <c r="L620" s="336"/>
      <c r="M620" s="336"/>
      <c r="N620" s="336"/>
      <c r="O620" s="336"/>
      <c r="P620" s="336"/>
      <c r="Q620" s="337"/>
      <c r="R620" s="336"/>
      <c r="S620" s="336"/>
      <c r="T620" s="336"/>
      <c r="U620" s="336"/>
      <c r="V620" s="336"/>
      <c r="W620" s="62">
        <f>W621</f>
        <v>112073.4</v>
      </c>
      <c r="X620" s="62">
        <f>X621</f>
        <v>0</v>
      </c>
    </row>
    <row r="621" spans="1:24" s="307" customFormat="1" ht="31.5">
      <c r="A621" s="163" t="s">
        <v>190</v>
      </c>
      <c r="B621" s="47"/>
      <c r="C621" s="48" t="s">
        <v>160</v>
      </c>
      <c r="D621" s="48" t="s">
        <v>157</v>
      </c>
      <c r="E621" s="56" t="s">
        <v>223</v>
      </c>
      <c r="F621" s="56" t="s">
        <v>178</v>
      </c>
      <c r="G621" s="70">
        <f>G622</f>
        <v>112073.4</v>
      </c>
      <c r="H621" s="336"/>
      <c r="I621" s="336"/>
      <c r="J621" s="336"/>
      <c r="K621" s="336"/>
      <c r="L621" s="336"/>
      <c r="M621" s="336"/>
      <c r="N621" s="336"/>
      <c r="O621" s="336"/>
      <c r="P621" s="336"/>
      <c r="Q621" s="337"/>
      <c r="R621" s="336"/>
      <c r="S621" s="336"/>
      <c r="T621" s="336"/>
      <c r="U621" s="336"/>
      <c r="V621" s="336"/>
      <c r="W621" s="70">
        <f>W622</f>
        <v>112073.4</v>
      </c>
      <c r="X621" s="70">
        <f>X622</f>
        <v>0</v>
      </c>
    </row>
    <row r="622" spans="1:24" s="307" customFormat="1" ht="15.75">
      <c r="A622" s="235" t="s">
        <v>191</v>
      </c>
      <c r="B622" s="47"/>
      <c r="C622" s="48" t="s">
        <v>160</v>
      </c>
      <c r="D622" s="48" t="s">
        <v>157</v>
      </c>
      <c r="E622" s="56" t="s">
        <v>223</v>
      </c>
      <c r="F622" s="56" t="s">
        <v>192</v>
      </c>
      <c r="G622" s="70">
        <f>82259.8+29813.6</f>
        <v>112073.4</v>
      </c>
      <c r="H622" s="336"/>
      <c r="I622" s="336"/>
      <c r="J622" s="336"/>
      <c r="K622" s="336"/>
      <c r="L622" s="336"/>
      <c r="M622" s="336"/>
      <c r="N622" s="336"/>
      <c r="O622" s="336"/>
      <c r="P622" s="336"/>
      <c r="Q622" s="337"/>
      <c r="R622" s="336"/>
      <c r="S622" s="336"/>
      <c r="T622" s="336"/>
      <c r="U622" s="336"/>
      <c r="V622" s="336"/>
      <c r="W622" s="70">
        <v>112073.4</v>
      </c>
      <c r="X622" s="62">
        <f>G622-W622</f>
        <v>0</v>
      </c>
    </row>
    <row r="623" spans="1:24" s="307" customFormat="1" ht="15.75">
      <c r="A623" s="257" t="s">
        <v>216</v>
      </c>
      <c r="B623" s="47"/>
      <c r="C623" s="48" t="s">
        <v>160</v>
      </c>
      <c r="D623" s="48" t="s">
        <v>157</v>
      </c>
      <c r="E623" s="56" t="s">
        <v>293</v>
      </c>
      <c r="F623" s="56"/>
      <c r="G623" s="62">
        <f>G624</f>
        <v>723.3</v>
      </c>
      <c r="H623" s="336"/>
      <c r="I623" s="336"/>
      <c r="J623" s="336"/>
      <c r="K623" s="336"/>
      <c r="L623" s="336"/>
      <c r="M623" s="336"/>
      <c r="N623" s="336"/>
      <c r="O623" s="336"/>
      <c r="P623" s="336"/>
      <c r="Q623" s="337"/>
      <c r="R623" s="336"/>
      <c r="S623" s="336"/>
      <c r="T623" s="336"/>
      <c r="U623" s="336"/>
      <c r="V623" s="336"/>
      <c r="W623" s="62">
        <f>W624</f>
        <v>723.3</v>
      </c>
      <c r="X623" s="62">
        <f>X624</f>
        <v>0</v>
      </c>
    </row>
    <row r="624" spans="1:24" s="307" customFormat="1" ht="31.5">
      <c r="A624" s="163" t="s">
        <v>190</v>
      </c>
      <c r="B624" s="47"/>
      <c r="C624" s="48" t="s">
        <v>160</v>
      </c>
      <c r="D624" s="48" t="s">
        <v>157</v>
      </c>
      <c r="E624" s="56" t="s">
        <v>293</v>
      </c>
      <c r="F624" s="56" t="s">
        <v>178</v>
      </c>
      <c r="G624" s="70">
        <f>G625</f>
        <v>723.3</v>
      </c>
      <c r="H624" s="336"/>
      <c r="I624" s="336"/>
      <c r="J624" s="336"/>
      <c r="K624" s="336"/>
      <c r="L624" s="336"/>
      <c r="M624" s="336"/>
      <c r="N624" s="336"/>
      <c r="O624" s="336"/>
      <c r="P624" s="336"/>
      <c r="Q624" s="337"/>
      <c r="R624" s="336"/>
      <c r="S624" s="336"/>
      <c r="T624" s="336"/>
      <c r="U624" s="336"/>
      <c r="V624" s="336"/>
      <c r="W624" s="70">
        <f>W625</f>
        <v>723.3</v>
      </c>
      <c r="X624" s="70">
        <f>X625</f>
        <v>0</v>
      </c>
    </row>
    <row r="625" spans="1:24" s="307" customFormat="1" ht="15.75">
      <c r="A625" s="235" t="s">
        <v>191</v>
      </c>
      <c r="B625" s="47"/>
      <c r="C625" s="48" t="s">
        <v>160</v>
      </c>
      <c r="D625" s="48" t="s">
        <v>157</v>
      </c>
      <c r="E625" s="56" t="s">
        <v>293</v>
      </c>
      <c r="F625" s="56" t="s">
        <v>192</v>
      </c>
      <c r="G625" s="70">
        <f>310+413.3</f>
        <v>723.3</v>
      </c>
      <c r="H625" s="336"/>
      <c r="I625" s="336"/>
      <c r="J625" s="336"/>
      <c r="K625" s="336"/>
      <c r="L625" s="336"/>
      <c r="M625" s="336"/>
      <c r="N625" s="336"/>
      <c r="O625" s="336"/>
      <c r="P625" s="336"/>
      <c r="Q625" s="337"/>
      <c r="R625" s="336"/>
      <c r="S625" s="336"/>
      <c r="T625" s="336"/>
      <c r="U625" s="336"/>
      <c r="V625" s="336"/>
      <c r="W625" s="70">
        <v>723.3</v>
      </c>
      <c r="X625" s="62">
        <f>G625-W625</f>
        <v>0</v>
      </c>
    </row>
    <row r="626" spans="1:24" s="307" customFormat="1" ht="15.75">
      <c r="A626" s="257" t="s">
        <v>271</v>
      </c>
      <c r="B626" s="47"/>
      <c r="C626" s="48" t="s">
        <v>160</v>
      </c>
      <c r="D626" s="48" t="s">
        <v>157</v>
      </c>
      <c r="E626" s="56" t="s">
        <v>294</v>
      </c>
      <c r="F626" s="56"/>
      <c r="G626" s="62">
        <f>G627</f>
        <v>310.4</v>
      </c>
      <c r="H626" s="336"/>
      <c r="I626" s="336"/>
      <c r="J626" s="336"/>
      <c r="K626" s="336"/>
      <c r="L626" s="336"/>
      <c r="M626" s="336"/>
      <c r="N626" s="336"/>
      <c r="O626" s="336"/>
      <c r="P626" s="336"/>
      <c r="Q626" s="337"/>
      <c r="R626" s="336"/>
      <c r="S626" s="336"/>
      <c r="T626" s="336"/>
      <c r="U626" s="336"/>
      <c r="V626" s="336"/>
      <c r="W626" s="62">
        <f>W627</f>
        <v>310.4</v>
      </c>
      <c r="X626" s="62">
        <f>X627</f>
        <v>0</v>
      </c>
    </row>
    <row r="627" spans="1:24" s="307" customFormat="1" ht="31.5">
      <c r="A627" s="163" t="s">
        <v>190</v>
      </c>
      <c r="B627" s="47"/>
      <c r="C627" s="48" t="s">
        <v>160</v>
      </c>
      <c r="D627" s="48" t="s">
        <v>157</v>
      </c>
      <c r="E627" s="56" t="s">
        <v>294</v>
      </c>
      <c r="F627" s="56" t="s">
        <v>178</v>
      </c>
      <c r="G627" s="70">
        <f>G628</f>
        <v>310.4</v>
      </c>
      <c r="H627" s="336"/>
      <c r="I627" s="346"/>
      <c r="J627" s="336"/>
      <c r="K627" s="336"/>
      <c r="L627" s="336"/>
      <c r="M627" s="336"/>
      <c r="N627" s="336"/>
      <c r="O627" s="336"/>
      <c r="P627" s="336"/>
      <c r="Q627" s="337"/>
      <c r="R627" s="336"/>
      <c r="S627" s="336"/>
      <c r="T627" s="336"/>
      <c r="U627" s="336"/>
      <c r="V627" s="336"/>
      <c r="W627" s="70">
        <f>W628</f>
        <v>310.4</v>
      </c>
      <c r="X627" s="70">
        <f>X628</f>
        <v>0</v>
      </c>
    </row>
    <row r="628" spans="1:24" ht="16.5" customHeight="1">
      <c r="A628" s="235" t="s">
        <v>191</v>
      </c>
      <c r="B628" s="47"/>
      <c r="C628" s="48" t="s">
        <v>160</v>
      </c>
      <c r="D628" s="48" t="s">
        <v>157</v>
      </c>
      <c r="E628" s="56" t="s">
        <v>294</v>
      </c>
      <c r="F628" s="56" t="s">
        <v>192</v>
      </c>
      <c r="G628" s="70">
        <f>177.3+133.1</f>
        <v>310.4</v>
      </c>
      <c r="I628" s="333"/>
      <c r="Q628" s="334"/>
      <c r="W628" s="70">
        <v>310.4</v>
      </c>
      <c r="X628" s="62">
        <f>G628-W628</f>
        <v>0</v>
      </c>
    </row>
    <row r="629" spans="1:24" ht="31.5">
      <c r="A629" s="305" t="s">
        <v>632</v>
      </c>
      <c r="B629" s="47"/>
      <c r="C629" s="48" t="s">
        <v>160</v>
      </c>
      <c r="D629" s="48" t="s">
        <v>157</v>
      </c>
      <c r="E629" s="56" t="s">
        <v>411</v>
      </c>
      <c r="F629" s="56"/>
      <c r="G629" s="70">
        <f>G630</f>
        <v>2347.6</v>
      </c>
      <c r="W629" s="70">
        <f>W630</f>
        <v>1977.6</v>
      </c>
      <c r="X629" s="70">
        <f>X630</f>
        <v>370</v>
      </c>
    </row>
    <row r="630" spans="1:24" ht="31.5">
      <c r="A630" s="163" t="s">
        <v>190</v>
      </c>
      <c r="B630" s="47"/>
      <c r="C630" s="48" t="s">
        <v>160</v>
      </c>
      <c r="D630" s="48" t="s">
        <v>157</v>
      </c>
      <c r="E630" s="56" t="s">
        <v>411</v>
      </c>
      <c r="F630" s="56" t="s">
        <v>178</v>
      </c>
      <c r="G630" s="70">
        <f>G631</f>
        <v>2347.6</v>
      </c>
      <c r="I630" s="333"/>
      <c r="W630" s="70">
        <f>W631</f>
        <v>1977.6</v>
      </c>
      <c r="X630" s="70">
        <f>X631</f>
        <v>370</v>
      </c>
    </row>
    <row r="631" spans="1:24" ht="15.75">
      <c r="A631" s="235" t="s">
        <v>191</v>
      </c>
      <c r="B631" s="47"/>
      <c r="C631" s="48" t="s">
        <v>160</v>
      </c>
      <c r="D631" s="48" t="s">
        <v>157</v>
      </c>
      <c r="E631" s="56" t="s">
        <v>411</v>
      </c>
      <c r="F631" s="56" t="s">
        <v>192</v>
      </c>
      <c r="G631" s="70">
        <f>350+927.6+700+370</f>
        <v>2347.6</v>
      </c>
      <c r="W631" s="70">
        <f>350+927.6+700</f>
        <v>1977.6</v>
      </c>
      <c r="X631" s="62">
        <f>G631-W631</f>
        <v>370</v>
      </c>
    </row>
    <row r="632" spans="1:24" ht="18.75" customHeight="1">
      <c r="A632" s="253" t="s">
        <v>295</v>
      </c>
      <c r="B632" s="47"/>
      <c r="C632" s="48" t="s">
        <v>160</v>
      </c>
      <c r="D632" s="48" t="s">
        <v>157</v>
      </c>
      <c r="E632" s="56" t="s">
        <v>296</v>
      </c>
      <c r="F632" s="56"/>
      <c r="G632" s="70">
        <f>G633</f>
        <v>2227.4</v>
      </c>
      <c r="W632" s="70">
        <f>W633</f>
        <v>2227.4</v>
      </c>
      <c r="X632" s="70">
        <f>X633</f>
        <v>0</v>
      </c>
    </row>
    <row r="633" spans="1:24" ht="31.5">
      <c r="A633" s="163" t="s">
        <v>190</v>
      </c>
      <c r="B633" s="47"/>
      <c r="C633" s="48" t="s">
        <v>160</v>
      </c>
      <c r="D633" s="48" t="s">
        <v>157</v>
      </c>
      <c r="E633" s="56" t="s">
        <v>296</v>
      </c>
      <c r="F633" s="56" t="s">
        <v>178</v>
      </c>
      <c r="G633" s="70">
        <f>G634</f>
        <v>2227.4</v>
      </c>
      <c r="I633" s="333"/>
      <c r="W633" s="70">
        <f>W634</f>
        <v>2227.4</v>
      </c>
      <c r="X633" s="70">
        <f>X634</f>
        <v>0</v>
      </c>
    </row>
    <row r="634" spans="1:24" ht="16.5" customHeight="1">
      <c r="A634" s="235" t="s">
        <v>191</v>
      </c>
      <c r="B634" s="47"/>
      <c r="C634" s="48" t="s">
        <v>160</v>
      </c>
      <c r="D634" s="48" t="s">
        <v>157</v>
      </c>
      <c r="E634" s="56" t="s">
        <v>296</v>
      </c>
      <c r="F634" s="56" t="s">
        <v>192</v>
      </c>
      <c r="G634" s="70">
        <f>727.4+1500</f>
        <v>2227.4</v>
      </c>
      <c r="I634" s="333"/>
      <c r="W634" s="70">
        <f>727.4+1500</f>
        <v>2227.4</v>
      </c>
      <c r="X634" s="62">
        <f>G634-W634</f>
        <v>0</v>
      </c>
    </row>
    <row r="635" spans="1:24" ht="31.5">
      <c r="A635" s="244" t="s">
        <v>267</v>
      </c>
      <c r="B635" s="47"/>
      <c r="C635" s="48" t="s">
        <v>160</v>
      </c>
      <c r="D635" s="48" t="s">
        <v>157</v>
      </c>
      <c r="E635" s="76" t="s">
        <v>621</v>
      </c>
      <c r="F635" s="76"/>
      <c r="G635" s="70">
        <f>G636</f>
        <v>62</v>
      </c>
      <c r="W635" s="70">
        <f>W636</f>
        <v>62</v>
      </c>
      <c r="X635" s="70">
        <f>X636</f>
        <v>0</v>
      </c>
    </row>
    <row r="636" spans="1:24" ht="31.5">
      <c r="A636" s="260" t="s">
        <v>190</v>
      </c>
      <c r="B636" s="47"/>
      <c r="C636" s="48" t="s">
        <v>160</v>
      </c>
      <c r="D636" s="48" t="s">
        <v>157</v>
      </c>
      <c r="E636" s="76" t="s">
        <v>621</v>
      </c>
      <c r="F636" s="76" t="s">
        <v>178</v>
      </c>
      <c r="G636" s="70">
        <f>G637</f>
        <v>62</v>
      </c>
      <c r="W636" s="70">
        <f>W637</f>
        <v>62</v>
      </c>
      <c r="X636" s="70">
        <f>X637</f>
        <v>0</v>
      </c>
    </row>
    <row r="637" spans="1:24" ht="15.75">
      <c r="A637" s="262" t="s">
        <v>191</v>
      </c>
      <c r="B637" s="47"/>
      <c r="C637" s="48" t="s">
        <v>160</v>
      </c>
      <c r="D637" s="48" t="s">
        <v>157</v>
      </c>
      <c r="E637" s="76" t="s">
        <v>621</v>
      </c>
      <c r="F637" s="76" t="s">
        <v>192</v>
      </c>
      <c r="G637" s="70">
        <v>62</v>
      </c>
      <c r="W637" s="70">
        <v>62</v>
      </c>
      <c r="X637" s="62">
        <f>G637-W637</f>
        <v>0</v>
      </c>
    </row>
    <row r="638" spans="1:24" ht="15.75">
      <c r="A638" s="235" t="s">
        <v>268</v>
      </c>
      <c r="B638" s="47"/>
      <c r="C638" s="48" t="s">
        <v>160</v>
      </c>
      <c r="D638" s="48" t="s">
        <v>157</v>
      </c>
      <c r="E638" s="56" t="s">
        <v>297</v>
      </c>
      <c r="F638" s="56"/>
      <c r="G638" s="70">
        <f>G639</f>
        <v>2704.3</v>
      </c>
      <c r="W638" s="70">
        <f>W639</f>
        <v>2704.3</v>
      </c>
      <c r="X638" s="70">
        <f>X639</f>
        <v>0</v>
      </c>
    </row>
    <row r="639" spans="1:24" ht="19.5" customHeight="1">
      <c r="A639" s="163" t="s">
        <v>190</v>
      </c>
      <c r="B639" s="47"/>
      <c r="C639" s="48" t="s">
        <v>160</v>
      </c>
      <c r="D639" s="48" t="s">
        <v>157</v>
      </c>
      <c r="E639" s="56" t="s">
        <v>297</v>
      </c>
      <c r="F639" s="56" t="s">
        <v>178</v>
      </c>
      <c r="G639" s="70">
        <f>G640</f>
        <v>2704.3</v>
      </c>
      <c r="I639" s="333"/>
      <c r="W639" s="70">
        <f>W640</f>
        <v>2704.3</v>
      </c>
      <c r="X639" s="70">
        <f>X640</f>
        <v>0</v>
      </c>
    </row>
    <row r="640" spans="1:24" ht="16.5" customHeight="1">
      <c r="A640" s="235" t="s">
        <v>191</v>
      </c>
      <c r="B640" s="47"/>
      <c r="C640" s="48" t="s">
        <v>160</v>
      </c>
      <c r="D640" s="48" t="s">
        <v>157</v>
      </c>
      <c r="E640" s="56" t="s">
        <v>297</v>
      </c>
      <c r="F640" s="56" t="s">
        <v>192</v>
      </c>
      <c r="G640" s="70">
        <f>1404.3+800+500</f>
        <v>2704.3</v>
      </c>
      <c r="W640" s="70">
        <f>1404.3+800+500</f>
        <v>2704.3</v>
      </c>
      <c r="X640" s="62">
        <f>G640-W640</f>
        <v>0</v>
      </c>
    </row>
    <row r="641" spans="1:24" ht="15.75">
      <c r="A641" s="235" t="s">
        <v>335</v>
      </c>
      <c r="B641" s="47"/>
      <c r="C641" s="48" t="s">
        <v>160</v>
      </c>
      <c r="D641" s="48" t="s">
        <v>157</v>
      </c>
      <c r="E641" s="56" t="s">
        <v>410</v>
      </c>
      <c r="F641" s="56"/>
      <c r="G641" s="70">
        <f>G642</f>
        <v>1034.5</v>
      </c>
      <c r="W641" s="70">
        <f>W642</f>
        <v>1034.5</v>
      </c>
      <c r="X641" s="70">
        <f>X642</f>
        <v>0</v>
      </c>
    </row>
    <row r="642" spans="1:24" ht="31.5">
      <c r="A642" s="163" t="s">
        <v>190</v>
      </c>
      <c r="B642" s="47"/>
      <c r="C642" s="48" t="s">
        <v>160</v>
      </c>
      <c r="D642" s="48" t="s">
        <v>157</v>
      </c>
      <c r="E642" s="56" t="s">
        <v>410</v>
      </c>
      <c r="F642" s="56" t="s">
        <v>178</v>
      </c>
      <c r="G642" s="70">
        <f>G643</f>
        <v>1034.5</v>
      </c>
      <c r="W642" s="70">
        <f>W643</f>
        <v>1034.5</v>
      </c>
      <c r="X642" s="70">
        <f>X643</f>
        <v>0</v>
      </c>
    </row>
    <row r="643" spans="1:24" ht="15.75">
      <c r="A643" s="235" t="s">
        <v>191</v>
      </c>
      <c r="B643" s="47"/>
      <c r="C643" s="48" t="s">
        <v>160</v>
      </c>
      <c r="D643" s="48" t="s">
        <v>157</v>
      </c>
      <c r="E643" s="56" t="s">
        <v>410</v>
      </c>
      <c r="F643" s="56" t="s">
        <v>192</v>
      </c>
      <c r="G643" s="70">
        <f>598.2+436.3</f>
        <v>1034.5</v>
      </c>
      <c r="W643" s="70">
        <f>598.2+436.3</f>
        <v>1034.5</v>
      </c>
      <c r="X643" s="62">
        <f>G643-W643</f>
        <v>0</v>
      </c>
    </row>
    <row r="644" spans="1:24" ht="15.75">
      <c r="A644" s="235" t="s">
        <v>298</v>
      </c>
      <c r="B644" s="47"/>
      <c r="C644" s="48" t="s">
        <v>160</v>
      </c>
      <c r="D644" s="48" t="s">
        <v>157</v>
      </c>
      <c r="E644" s="56" t="s">
        <v>299</v>
      </c>
      <c r="F644" s="56"/>
      <c r="G644" s="70">
        <f>G645</f>
        <v>260</v>
      </c>
      <c r="W644" s="70">
        <f>W645</f>
        <v>260</v>
      </c>
      <c r="X644" s="70">
        <f>X645</f>
        <v>0</v>
      </c>
    </row>
    <row r="645" spans="1:24" ht="31.5">
      <c r="A645" s="163" t="s">
        <v>190</v>
      </c>
      <c r="B645" s="47"/>
      <c r="C645" s="48" t="s">
        <v>160</v>
      </c>
      <c r="D645" s="48" t="s">
        <v>157</v>
      </c>
      <c r="E645" s="56" t="s">
        <v>299</v>
      </c>
      <c r="F645" s="56" t="s">
        <v>178</v>
      </c>
      <c r="G645" s="70">
        <f>G646</f>
        <v>260</v>
      </c>
      <c r="W645" s="70">
        <f>W646</f>
        <v>260</v>
      </c>
      <c r="X645" s="70">
        <f>X646</f>
        <v>0</v>
      </c>
    </row>
    <row r="646" spans="1:24" ht="15.75">
      <c r="A646" s="235" t="s">
        <v>191</v>
      </c>
      <c r="B646" s="47"/>
      <c r="C646" s="48" t="s">
        <v>160</v>
      </c>
      <c r="D646" s="48" t="s">
        <v>157</v>
      </c>
      <c r="E646" s="56" t="s">
        <v>299</v>
      </c>
      <c r="F646" s="56" t="s">
        <v>192</v>
      </c>
      <c r="G646" s="70">
        <v>260</v>
      </c>
      <c r="W646" s="70">
        <v>260</v>
      </c>
      <c r="X646" s="62">
        <f>G646-W646</f>
        <v>0</v>
      </c>
    </row>
    <row r="647" spans="1:24" ht="31.5">
      <c r="A647" s="235" t="s">
        <v>481</v>
      </c>
      <c r="B647" s="47"/>
      <c r="C647" s="48" t="s">
        <v>160</v>
      </c>
      <c r="D647" s="48" t="s">
        <v>157</v>
      </c>
      <c r="E647" s="56" t="s">
        <v>482</v>
      </c>
      <c r="F647" s="99"/>
      <c r="G647" s="62">
        <f>G648</f>
        <v>10066.4</v>
      </c>
      <c r="W647" s="62">
        <f>W648</f>
        <v>10686.4</v>
      </c>
      <c r="X647" s="62">
        <f>X648</f>
        <v>-620</v>
      </c>
    </row>
    <row r="648" spans="1:24" ht="31.5">
      <c r="A648" s="235" t="s">
        <v>190</v>
      </c>
      <c r="B648" s="47"/>
      <c r="C648" s="48" t="s">
        <v>160</v>
      </c>
      <c r="D648" s="48" t="s">
        <v>157</v>
      </c>
      <c r="E648" s="56" t="s">
        <v>482</v>
      </c>
      <c r="F648" s="99" t="s">
        <v>178</v>
      </c>
      <c r="G648" s="62">
        <f>G649</f>
        <v>10066.4</v>
      </c>
      <c r="W648" s="62">
        <f>W649</f>
        <v>10686.4</v>
      </c>
      <c r="X648" s="62">
        <f>X649</f>
        <v>-620</v>
      </c>
    </row>
    <row r="649" spans="1:24" ht="15.75">
      <c r="A649" s="235" t="s">
        <v>191</v>
      </c>
      <c r="B649" s="47"/>
      <c r="C649" s="48" t="s">
        <v>160</v>
      </c>
      <c r="D649" s="48" t="s">
        <v>157</v>
      </c>
      <c r="E649" s="56" t="s">
        <v>482</v>
      </c>
      <c r="F649" s="99" t="s">
        <v>192</v>
      </c>
      <c r="G649" s="62">
        <f>8498.6+2316.2-128.4-620</f>
        <v>10066.4</v>
      </c>
      <c r="W649" s="62">
        <f>8498.6+2316.2-128.4</f>
        <v>10686.4</v>
      </c>
      <c r="X649" s="62">
        <f>G649-W649</f>
        <v>-620</v>
      </c>
    </row>
    <row r="650" spans="1:24" ht="15.75">
      <c r="A650" s="244" t="s">
        <v>398</v>
      </c>
      <c r="B650" s="47"/>
      <c r="C650" s="48" t="s">
        <v>160</v>
      </c>
      <c r="D650" s="48" t="s">
        <v>157</v>
      </c>
      <c r="E650" s="56" t="s">
        <v>397</v>
      </c>
      <c r="F650" s="91"/>
      <c r="G650" s="62">
        <f>G651</f>
        <v>14872.7</v>
      </c>
      <c r="W650" s="62">
        <f>W651</f>
        <v>14872.7</v>
      </c>
      <c r="X650" s="62">
        <f>X651</f>
        <v>0</v>
      </c>
    </row>
    <row r="651" spans="1:24" ht="31.5">
      <c r="A651" s="163" t="s">
        <v>190</v>
      </c>
      <c r="B651" s="47"/>
      <c r="C651" s="48" t="s">
        <v>160</v>
      </c>
      <c r="D651" s="48" t="s">
        <v>157</v>
      </c>
      <c r="E651" s="56" t="s">
        <v>397</v>
      </c>
      <c r="F651" s="56" t="s">
        <v>178</v>
      </c>
      <c r="G651" s="62">
        <f>G652</f>
        <v>14872.7</v>
      </c>
      <c r="W651" s="62">
        <f>W652</f>
        <v>14872.7</v>
      </c>
      <c r="X651" s="62">
        <f>X652</f>
        <v>0</v>
      </c>
    </row>
    <row r="652" spans="1:24" ht="15.75">
      <c r="A652" s="253" t="s">
        <v>191</v>
      </c>
      <c r="B652" s="47"/>
      <c r="C652" s="48" t="s">
        <v>160</v>
      </c>
      <c r="D652" s="48" t="s">
        <v>157</v>
      </c>
      <c r="E652" s="56" t="s">
        <v>397</v>
      </c>
      <c r="F652" s="56" t="s">
        <v>192</v>
      </c>
      <c r="G652" s="62">
        <v>14872.7</v>
      </c>
      <c r="W652" s="62">
        <v>14872.7</v>
      </c>
      <c r="X652" s="62">
        <f>G652-W652</f>
        <v>0</v>
      </c>
    </row>
    <row r="653" spans="1:24" ht="31.5">
      <c r="A653" s="244" t="s">
        <v>483</v>
      </c>
      <c r="B653" s="47"/>
      <c r="C653" s="48" t="s">
        <v>160</v>
      </c>
      <c r="D653" s="48" t="s">
        <v>157</v>
      </c>
      <c r="E653" s="56" t="s">
        <v>399</v>
      </c>
      <c r="F653" s="91"/>
      <c r="G653" s="62">
        <f>G654</f>
        <v>192.1</v>
      </c>
      <c r="W653" s="62">
        <f>W654</f>
        <v>192.1</v>
      </c>
      <c r="X653" s="62">
        <f>X654</f>
        <v>0</v>
      </c>
    </row>
    <row r="654" spans="1:24" ht="31.5">
      <c r="A654" s="163" t="s">
        <v>190</v>
      </c>
      <c r="B654" s="47"/>
      <c r="C654" s="48" t="s">
        <v>160</v>
      </c>
      <c r="D654" s="48" t="s">
        <v>157</v>
      </c>
      <c r="E654" s="56" t="s">
        <v>399</v>
      </c>
      <c r="F654" s="56" t="s">
        <v>178</v>
      </c>
      <c r="G654" s="62">
        <f>G655</f>
        <v>192.1</v>
      </c>
      <c r="W654" s="62">
        <f>W655</f>
        <v>192.1</v>
      </c>
      <c r="X654" s="62">
        <f>X655</f>
        <v>0</v>
      </c>
    </row>
    <row r="655" spans="1:24" ht="15.75">
      <c r="A655" s="235" t="s">
        <v>191</v>
      </c>
      <c r="B655" s="47"/>
      <c r="C655" s="48" t="s">
        <v>160</v>
      </c>
      <c r="D655" s="48" t="s">
        <v>157</v>
      </c>
      <c r="E655" s="56" t="s">
        <v>399</v>
      </c>
      <c r="F655" s="56" t="s">
        <v>192</v>
      </c>
      <c r="G655" s="62">
        <v>192.1</v>
      </c>
      <c r="W655" s="62">
        <v>192.1</v>
      </c>
      <c r="X655" s="62">
        <f>G655-W655</f>
        <v>0</v>
      </c>
    </row>
    <row r="656" spans="1:24" ht="31.5">
      <c r="A656" s="244" t="s">
        <v>485</v>
      </c>
      <c r="B656" s="47"/>
      <c r="C656" s="48" t="s">
        <v>160</v>
      </c>
      <c r="D656" s="48" t="s">
        <v>157</v>
      </c>
      <c r="E656" s="56" t="s">
        <v>484</v>
      </c>
      <c r="F656" s="91"/>
      <c r="G656" s="62">
        <f>G657</f>
        <v>139.5</v>
      </c>
      <c r="W656" s="62">
        <f>W657</f>
        <v>139.5</v>
      </c>
      <c r="X656" s="62">
        <f>X657</f>
        <v>0</v>
      </c>
    </row>
    <row r="657" spans="1:24" ht="31.5">
      <c r="A657" s="163" t="s">
        <v>190</v>
      </c>
      <c r="B657" s="47"/>
      <c r="C657" s="48" t="s">
        <v>160</v>
      </c>
      <c r="D657" s="48" t="s">
        <v>157</v>
      </c>
      <c r="E657" s="56" t="s">
        <v>484</v>
      </c>
      <c r="F657" s="56" t="s">
        <v>178</v>
      </c>
      <c r="G657" s="62">
        <f>G658</f>
        <v>139.5</v>
      </c>
      <c r="W657" s="62">
        <f>W658</f>
        <v>139.5</v>
      </c>
      <c r="X657" s="62">
        <f>X658</f>
        <v>0</v>
      </c>
    </row>
    <row r="658" spans="1:24" ht="15.75">
      <c r="A658" s="235" t="s">
        <v>191</v>
      </c>
      <c r="B658" s="47"/>
      <c r="C658" s="48" t="s">
        <v>160</v>
      </c>
      <c r="D658" s="48" t="s">
        <v>157</v>
      </c>
      <c r="E658" s="56" t="s">
        <v>484</v>
      </c>
      <c r="F658" s="56" t="s">
        <v>192</v>
      </c>
      <c r="G658" s="62">
        <v>139.5</v>
      </c>
      <c r="W658" s="62">
        <v>139.5</v>
      </c>
      <c r="X658" s="62">
        <f>G658-W658</f>
        <v>0</v>
      </c>
    </row>
    <row r="659" spans="1:24" ht="15.75">
      <c r="A659" s="244" t="s">
        <v>590</v>
      </c>
      <c r="B659" s="47"/>
      <c r="C659" s="48" t="s">
        <v>160</v>
      </c>
      <c r="D659" s="48" t="s">
        <v>157</v>
      </c>
      <c r="E659" s="56" t="s">
        <v>589</v>
      </c>
      <c r="F659" s="91"/>
      <c r="G659" s="62">
        <f>G660</f>
        <v>61.1</v>
      </c>
      <c r="W659" s="62">
        <f>W660</f>
        <v>61.1</v>
      </c>
      <c r="X659" s="62">
        <f>X660</f>
        <v>0</v>
      </c>
    </row>
    <row r="660" spans="1:24" ht="31.5">
      <c r="A660" s="163" t="s">
        <v>190</v>
      </c>
      <c r="B660" s="47"/>
      <c r="C660" s="48" t="s">
        <v>160</v>
      </c>
      <c r="D660" s="48" t="s">
        <v>157</v>
      </c>
      <c r="E660" s="56" t="s">
        <v>589</v>
      </c>
      <c r="F660" s="56" t="s">
        <v>178</v>
      </c>
      <c r="G660" s="62">
        <f>G661</f>
        <v>61.1</v>
      </c>
      <c r="W660" s="62">
        <f>W661</f>
        <v>61.1</v>
      </c>
      <c r="X660" s="62">
        <f>X661</f>
        <v>0</v>
      </c>
    </row>
    <row r="661" spans="1:24" ht="17.25" customHeight="1">
      <c r="A661" s="235" t="s">
        <v>191</v>
      </c>
      <c r="B661" s="47"/>
      <c r="C661" s="48" t="s">
        <v>160</v>
      </c>
      <c r="D661" s="48" t="s">
        <v>157</v>
      </c>
      <c r="E661" s="56" t="s">
        <v>589</v>
      </c>
      <c r="F661" s="56" t="s">
        <v>192</v>
      </c>
      <c r="G661" s="62">
        <f>5+55.6+0.5</f>
        <v>61.1</v>
      </c>
      <c r="W661" s="62">
        <f>5+55.6+0.5</f>
        <v>61.1</v>
      </c>
      <c r="X661" s="62">
        <f>G661-W661</f>
        <v>0</v>
      </c>
    </row>
    <row r="662" spans="1:24" ht="17.25" customHeight="1">
      <c r="A662" s="244" t="s">
        <v>587</v>
      </c>
      <c r="B662" s="47"/>
      <c r="C662" s="48" t="s">
        <v>160</v>
      </c>
      <c r="D662" s="48" t="s">
        <v>157</v>
      </c>
      <c r="E662" s="56" t="s">
        <v>588</v>
      </c>
      <c r="F662" s="91"/>
      <c r="G662" s="62">
        <f>G663</f>
        <v>122.1</v>
      </c>
      <c r="W662" s="62">
        <f>W663</f>
        <v>122.1</v>
      </c>
      <c r="X662" s="62">
        <f>X663</f>
        <v>0</v>
      </c>
    </row>
    <row r="663" spans="1:24" ht="17.25" customHeight="1">
      <c r="A663" s="163" t="s">
        <v>190</v>
      </c>
      <c r="B663" s="47"/>
      <c r="C663" s="48" t="s">
        <v>160</v>
      </c>
      <c r="D663" s="48" t="s">
        <v>157</v>
      </c>
      <c r="E663" s="56" t="s">
        <v>588</v>
      </c>
      <c r="F663" s="56" t="s">
        <v>178</v>
      </c>
      <c r="G663" s="62">
        <f>G664</f>
        <v>122.1</v>
      </c>
      <c r="W663" s="62">
        <f>W664</f>
        <v>122.1</v>
      </c>
      <c r="X663" s="62">
        <f>X664</f>
        <v>0</v>
      </c>
    </row>
    <row r="664" spans="1:24" ht="17.25" customHeight="1">
      <c r="A664" s="235" t="s">
        <v>191</v>
      </c>
      <c r="B664" s="47"/>
      <c r="C664" s="48" t="s">
        <v>160</v>
      </c>
      <c r="D664" s="48" t="s">
        <v>157</v>
      </c>
      <c r="E664" s="56" t="s">
        <v>588</v>
      </c>
      <c r="F664" s="56" t="s">
        <v>192</v>
      </c>
      <c r="G664" s="62">
        <f>10+111.1+1</f>
        <v>122.1</v>
      </c>
      <c r="W664" s="62">
        <f>10+111.1+1</f>
        <v>122.1</v>
      </c>
      <c r="X664" s="62">
        <f>G664-W664</f>
        <v>0</v>
      </c>
    </row>
    <row r="665" spans="1:24" ht="15.75">
      <c r="A665" s="276" t="s">
        <v>512</v>
      </c>
      <c r="B665" s="51"/>
      <c r="C665" s="45" t="s">
        <v>160</v>
      </c>
      <c r="D665" s="45" t="s">
        <v>157</v>
      </c>
      <c r="E665" s="52" t="s">
        <v>511</v>
      </c>
      <c r="F665" s="57"/>
      <c r="G665" s="58">
        <f>G666</f>
        <v>130584.62</v>
      </c>
      <c r="W665" s="58">
        <f>W666</f>
        <v>130584.62</v>
      </c>
      <c r="X665" s="58">
        <f>X666</f>
        <v>0</v>
      </c>
    </row>
    <row r="666" spans="1:24" ht="15.75">
      <c r="A666" s="252" t="s">
        <v>513</v>
      </c>
      <c r="B666" s="51"/>
      <c r="C666" s="45" t="s">
        <v>160</v>
      </c>
      <c r="D666" s="45" t="s">
        <v>157</v>
      </c>
      <c r="E666" s="52" t="s">
        <v>281</v>
      </c>
      <c r="F666" s="57"/>
      <c r="G666" s="58">
        <f>G669+G672+G675</f>
        <v>130584.62</v>
      </c>
      <c r="W666" s="58">
        <f>W669+W672+W675</f>
        <v>130584.62</v>
      </c>
      <c r="X666" s="58">
        <f>X669+X672+X675</f>
        <v>0</v>
      </c>
    </row>
    <row r="667" spans="1:24" ht="31.5">
      <c r="A667" s="238" t="s">
        <v>664</v>
      </c>
      <c r="B667" s="47"/>
      <c r="C667" s="48" t="s">
        <v>160</v>
      </c>
      <c r="D667" s="48" t="s">
        <v>157</v>
      </c>
      <c r="E667" s="56" t="s">
        <v>662</v>
      </c>
      <c r="F667" s="56"/>
      <c r="G667" s="62">
        <f>G668</f>
        <v>82146.02</v>
      </c>
      <c r="W667" s="62">
        <f>W668</f>
        <v>82146.02</v>
      </c>
      <c r="X667" s="62">
        <f>X668</f>
        <v>0</v>
      </c>
    </row>
    <row r="668" spans="1:24" ht="15.75">
      <c r="A668" s="163" t="s">
        <v>227</v>
      </c>
      <c r="B668" s="47"/>
      <c r="C668" s="48" t="s">
        <v>160</v>
      </c>
      <c r="D668" s="48" t="s">
        <v>157</v>
      </c>
      <c r="E668" s="56" t="s">
        <v>662</v>
      </c>
      <c r="F668" s="56" t="s">
        <v>178</v>
      </c>
      <c r="G668" s="62">
        <f>G669</f>
        <v>82146.02</v>
      </c>
      <c r="W668" s="62">
        <f>W669</f>
        <v>82146.02</v>
      </c>
      <c r="X668" s="62">
        <f>X669</f>
        <v>0</v>
      </c>
    </row>
    <row r="669" spans="1:24" ht="15.75">
      <c r="A669" s="271" t="s">
        <v>179</v>
      </c>
      <c r="B669" s="47"/>
      <c r="C669" s="48" t="s">
        <v>160</v>
      </c>
      <c r="D669" s="48" t="s">
        <v>157</v>
      </c>
      <c r="E669" s="56" t="s">
        <v>662</v>
      </c>
      <c r="F669" s="56" t="s">
        <v>192</v>
      </c>
      <c r="G669" s="62">
        <f>79487.8+1622.22+413+623</f>
        <v>82146.02</v>
      </c>
      <c r="W669" s="62">
        <f>79487.8+1622.22+413+623</f>
        <v>82146.02</v>
      </c>
      <c r="X669" s="62">
        <f>G669-W669</f>
        <v>0</v>
      </c>
    </row>
    <row r="670" spans="1:24" ht="31.5">
      <c r="A670" s="238" t="s">
        <v>665</v>
      </c>
      <c r="B670" s="47"/>
      <c r="C670" s="48" t="s">
        <v>160</v>
      </c>
      <c r="D670" s="48" t="s">
        <v>157</v>
      </c>
      <c r="E670" s="56" t="s">
        <v>663</v>
      </c>
      <c r="F670" s="56"/>
      <c r="G670" s="62">
        <f>G671</f>
        <v>23425.7</v>
      </c>
      <c r="W670" s="62">
        <f>W671</f>
        <v>23425.7</v>
      </c>
      <c r="X670" s="62">
        <f>X671</f>
        <v>0</v>
      </c>
    </row>
    <row r="671" spans="1:24" ht="15.75">
      <c r="A671" s="163" t="s">
        <v>227</v>
      </c>
      <c r="B671" s="47"/>
      <c r="C671" s="48" t="s">
        <v>160</v>
      </c>
      <c r="D671" s="48" t="s">
        <v>157</v>
      </c>
      <c r="E671" s="56" t="s">
        <v>663</v>
      </c>
      <c r="F671" s="56" t="s">
        <v>178</v>
      </c>
      <c r="G671" s="62">
        <f>G672</f>
        <v>23425.7</v>
      </c>
      <c r="W671" s="62">
        <f>W672</f>
        <v>23425.7</v>
      </c>
      <c r="X671" s="62">
        <f>X672</f>
        <v>0</v>
      </c>
    </row>
    <row r="672" spans="1:24" ht="15.75">
      <c r="A672" s="271" t="s">
        <v>179</v>
      </c>
      <c r="B672" s="47"/>
      <c r="C672" s="48" t="s">
        <v>160</v>
      </c>
      <c r="D672" s="48" t="s">
        <v>157</v>
      </c>
      <c r="E672" s="56" t="s">
        <v>663</v>
      </c>
      <c r="F672" s="56" t="s">
        <v>192</v>
      </c>
      <c r="G672" s="62">
        <f>22669+462.7+117+177</f>
        <v>23425.7</v>
      </c>
      <c r="W672" s="62">
        <f>22669+462.7+117+177</f>
        <v>23425.7</v>
      </c>
      <c r="X672" s="62">
        <f>G672-W672</f>
        <v>0</v>
      </c>
    </row>
    <row r="673" spans="1:24" ht="31.5">
      <c r="A673" s="238" t="s">
        <v>661</v>
      </c>
      <c r="B673" s="47"/>
      <c r="C673" s="48" t="s">
        <v>160</v>
      </c>
      <c r="D673" s="48" t="s">
        <v>157</v>
      </c>
      <c r="E673" s="56" t="s">
        <v>660</v>
      </c>
      <c r="F673" s="56"/>
      <c r="G673" s="62">
        <f>G674</f>
        <v>25012.9</v>
      </c>
      <c r="W673" s="62">
        <f>W674</f>
        <v>25012.9</v>
      </c>
      <c r="X673" s="62">
        <f>X674</f>
        <v>0</v>
      </c>
    </row>
    <row r="674" spans="1:24" ht="15.75">
      <c r="A674" s="163" t="s">
        <v>227</v>
      </c>
      <c r="B674" s="47"/>
      <c r="C674" s="48" t="s">
        <v>160</v>
      </c>
      <c r="D674" s="48" t="s">
        <v>157</v>
      </c>
      <c r="E674" s="56" t="s">
        <v>660</v>
      </c>
      <c r="F674" s="56" t="s">
        <v>178</v>
      </c>
      <c r="G674" s="62">
        <f>G675</f>
        <v>25012.9</v>
      </c>
      <c r="W674" s="62">
        <f>W675</f>
        <v>25012.9</v>
      </c>
      <c r="X674" s="62">
        <f>X675</f>
        <v>0</v>
      </c>
    </row>
    <row r="675" spans="1:24" ht="15.75">
      <c r="A675" s="271" t="s">
        <v>179</v>
      </c>
      <c r="B675" s="47"/>
      <c r="C675" s="48" t="s">
        <v>160</v>
      </c>
      <c r="D675" s="48" t="s">
        <v>157</v>
      </c>
      <c r="E675" s="56" t="s">
        <v>660</v>
      </c>
      <c r="F675" s="56" t="s">
        <v>192</v>
      </c>
      <c r="G675" s="62">
        <v>25012.9</v>
      </c>
      <c r="W675" s="62">
        <v>25012.9</v>
      </c>
      <c r="X675" s="62">
        <f>G675-W675</f>
        <v>0</v>
      </c>
    </row>
    <row r="676" spans="1:24" ht="15.75">
      <c r="A676" s="234" t="s">
        <v>155</v>
      </c>
      <c r="B676" s="54"/>
      <c r="C676" s="45" t="s">
        <v>127</v>
      </c>
      <c r="D676" s="45"/>
      <c r="E676" s="52"/>
      <c r="F676" s="56"/>
      <c r="G676" s="58">
        <f>G677+G691</f>
        <v>3891.9</v>
      </c>
      <c r="W676" s="58">
        <f>W677+W691</f>
        <v>1848.7</v>
      </c>
      <c r="X676" s="58">
        <f>X677+X691</f>
        <v>2043.2</v>
      </c>
    </row>
    <row r="677" spans="1:24" ht="15.75">
      <c r="A677" s="245" t="s">
        <v>124</v>
      </c>
      <c r="B677" s="54"/>
      <c r="C677" s="45" t="s">
        <v>127</v>
      </c>
      <c r="D677" s="45" t="s">
        <v>158</v>
      </c>
      <c r="E677" s="52"/>
      <c r="F677" s="56"/>
      <c r="G677" s="58">
        <f>G687+G678</f>
        <v>442</v>
      </c>
      <c r="W677" s="58">
        <f>W687+W678</f>
        <v>442</v>
      </c>
      <c r="X677" s="58">
        <f>X687+X678</f>
        <v>0</v>
      </c>
    </row>
    <row r="678" spans="1:24" ht="31.5">
      <c r="A678" s="239" t="s">
        <v>447</v>
      </c>
      <c r="B678" s="54"/>
      <c r="C678" s="45" t="s">
        <v>127</v>
      </c>
      <c r="D678" s="45" t="s">
        <v>158</v>
      </c>
      <c r="E678" s="52" t="s">
        <v>82</v>
      </c>
      <c r="F678" s="56"/>
      <c r="G678" s="58">
        <f>G679+G683</f>
        <v>242</v>
      </c>
      <c r="W678" s="58">
        <f>W679+W683</f>
        <v>242</v>
      </c>
      <c r="X678" s="58">
        <f>X679+X683</f>
        <v>0</v>
      </c>
    </row>
    <row r="679" spans="1:24" s="307" customFormat="1" ht="19.5" customHeight="1">
      <c r="A679" s="239" t="s">
        <v>341</v>
      </c>
      <c r="B679" s="54"/>
      <c r="C679" s="45" t="s">
        <v>127</v>
      </c>
      <c r="D679" s="45" t="s">
        <v>158</v>
      </c>
      <c r="E679" s="52" t="s">
        <v>48</v>
      </c>
      <c r="F679" s="56"/>
      <c r="G679" s="58">
        <f>G680</f>
        <v>200</v>
      </c>
      <c r="H679" s="336"/>
      <c r="I679" s="336"/>
      <c r="J679" s="336"/>
      <c r="K679" s="336"/>
      <c r="L679" s="336"/>
      <c r="M679" s="336"/>
      <c r="N679" s="336"/>
      <c r="O679" s="336"/>
      <c r="P679" s="336"/>
      <c r="Q679" s="337"/>
      <c r="R679" s="336"/>
      <c r="S679" s="336"/>
      <c r="T679" s="336"/>
      <c r="U679" s="336"/>
      <c r="V679" s="336"/>
      <c r="W679" s="58">
        <f>W680</f>
        <v>200</v>
      </c>
      <c r="X679" s="58">
        <f>X680</f>
        <v>0</v>
      </c>
    </row>
    <row r="680" spans="1:24" s="307" customFormat="1" ht="16.5" customHeight="1">
      <c r="A680" s="238" t="s">
        <v>94</v>
      </c>
      <c r="B680" s="66"/>
      <c r="C680" s="48" t="s">
        <v>127</v>
      </c>
      <c r="D680" s="48" t="s">
        <v>158</v>
      </c>
      <c r="E680" s="49" t="s">
        <v>49</v>
      </c>
      <c r="F680" s="56"/>
      <c r="G680" s="62">
        <f>SUM(G681)</f>
        <v>200</v>
      </c>
      <c r="H680" s="336"/>
      <c r="I680" s="336"/>
      <c r="J680" s="336"/>
      <c r="K680" s="336"/>
      <c r="L680" s="336"/>
      <c r="M680" s="336"/>
      <c r="N680" s="336"/>
      <c r="O680" s="336"/>
      <c r="P680" s="336"/>
      <c r="Q680" s="337"/>
      <c r="R680" s="336"/>
      <c r="S680" s="336"/>
      <c r="T680" s="336"/>
      <c r="U680" s="336"/>
      <c r="V680" s="336"/>
      <c r="W680" s="62">
        <f>SUM(W681)</f>
        <v>200</v>
      </c>
      <c r="X680" s="62">
        <f>SUM(X681)</f>
        <v>0</v>
      </c>
    </row>
    <row r="681" spans="1:24" ht="20.25" customHeight="1">
      <c r="A681" s="237" t="s">
        <v>226</v>
      </c>
      <c r="B681" s="66"/>
      <c r="C681" s="48" t="s">
        <v>127</v>
      </c>
      <c r="D681" s="48" t="s">
        <v>158</v>
      </c>
      <c r="E681" s="49" t="s">
        <v>49</v>
      </c>
      <c r="F681" s="56" t="s">
        <v>188</v>
      </c>
      <c r="G681" s="62">
        <f>G682</f>
        <v>200</v>
      </c>
      <c r="W681" s="62">
        <f>W682</f>
        <v>200</v>
      </c>
      <c r="X681" s="62">
        <f>X682</f>
        <v>0</v>
      </c>
    </row>
    <row r="682" spans="1:24" ht="15.75">
      <c r="A682" s="257" t="s">
        <v>189</v>
      </c>
      <c r="B682" s="66"/>
      <c r="C682" s="48" t="s">
        <v>127</v>
      </c>
      <c r="D682" s="48" t="s">
        <v>158</v>
      </c>
      <c r="E682" s="49" t="s">
        <v>49</v>
      </c>
      <c r="F682" s="56" t="s">
        <v>187</v>
      </c>
      <c r="G682" s="62">
        <v>200</v>
      </c>
      <c r="W682" s="62">
        <v>200</v>
      </c>
      <c r="X682" s="62">
        <f>G682-W682</f>
        <v>0</v>
      </c>
    </row>
    <row r="683" spans="1:24" s="307" customFormat="1" ht="19.5" customHeight="1">
      <c r="A683" s="239" t="s">
        <v>533</v>
      </c>
      <c r="B683" s="54"/>
      <c r="C683" s="45" t="s">
        <v>127</v>
      </c>
      <c r="D683" s="45" t="s">
        <v>158</v>
      </c>
      <c r="E683" s="52" t="s">
        <v>50</v>
      </c>
      <c r="F683" s="56"/>
      <c r="G683" s="58">
        <f>G684</f>
        <v>42</v>
      </c>
      <c r="H683" s="336"/>
      <c r="I683" s="336"/>
      <c r="J683" s="336"/>
      <c r="K683" s="336"/>
      <c r="L683" s="336"/>
      <c r="M683" s="336"/>
      <c r="N683" s="336"/>
      <c r="O683" s="336"/>
      <c r="P683" s="336"/>
      <c r="Q683" s="337"/>
      <c r="R683" s="336"/>
      <c r="S683" s="336"/>
      <c r="T683" s="336"/>
      <c r="U683" s="336"/>
      <c r="V683" s="336"/>
      <c r="W683" s="58">
        <f>W684</f>
        <v>42</v>
      </c>
      <c r="X683" s="58">
        <f>X684</f>
        <v>0</v>
      </c>
    </row>
    <row r="684" spans="1:24" s="307" customFormat="1" ht="16.5" customHeight="1">
      <c r="A684" s="238" t="s">
        <v>463</v>
      </c>
      <c r="B684" s="66"/>
      <c r="C684" s="48" t="s">
        <v>127</v>
      </c>
      <c r="D684" s="48" t="s">
        <v>158</v>
      </c>
      <c r="E684" s="49" t="s">
        <v>534</v>
      </c>
      <c r="F684" s="56"/>
      <c r="G684" s="62">
        <f>SUM(G685)</f>
        <v>42</v>
      </c>
      <c r="H684" s="336"/>
      <c r="I684" s="336"/>
      <c r="J684" s="336"/>
      <c r="K684" s="336"/>
      <c r="L684" s="336"/>
      <c r="M684" s="336"/>
      <c r="N684" s="336"/>
      <c r="O684" s="336"/>
      <c r="P684" s="336"/>
      <c r="Q684" s="337"/>
      <c r="R684" s="336"/>
      <c r="S684" s="336"/>
      <c r="T684" s="336"/>
      <c r="U684" s="336"/>
      <c r="V684" s="336"/>
      <c r="W684" s="62">
        <f>SUM(W685)</f>
        <v>42</v>
      </c>
      <c r="X684" s="62">
        <f>SUM(X685)</f>
        <v>0</v>
      </c>
    </row>
    <row r="685" spans="1:24" ht="20.25" customHeight="1">
      <c r="A685" s="238" t="s">
        <v>89</v>
      </c>
      <c r="B685" s="66"/>
      <c r="C685" s="48" t="s">
        <v>127</v>
      </c>
      <c r="D685" s="48" t="s">
        <v>158</v>
      </c>
      <c r="E685" s="49" t="s">
        <v>534</v>
      </c>
      <c r="F685" s="56" t="s">
        <v>85</v>
      </c>
      <c r="G685" s="62">
        <f>G686</f>
        <v>42</v>
      </c>
      <c r="W685" s="62">
        <f>W686</f>
        <v>42</v>
      </c>
      <c r="X685" s="62">
        <f>X686</f>
        <v>0</v>
      </c>
    </row>
    <row r="686" spans="1:24" ht="15.75">
      <c r="A686" s="238" t="s">
        <v>84</v>
      </c>
      <c r="B686" s="66"/>
      <c r="C686" s="48" t="s">
        <v>127</v>
      </c>
      <c r="D686" s="48" t="s">
        <v>158</v>
      </c>
      <c r="E686" s="49" t="s">
        <v>534</v>
      </c>
      <c r="F686" s="56" t="s">
        <v>86</v>
      </c>
      <c r="G686" s="62">
        <v>42</v>
      </c>
      <c r="W686" s="62">
        <v>42</v>
      </c>
      <c r="X686" s="62">
        <f>G686-W686</f>
        <v>0</v>
      </c>
    </row>
    <row r="687" spans="1:24" s="307" customFormat="1" ht="15.75">
      <c r="A687" s="242" t="s">
        <v>343</v>
      </c>
      <c r="B687" s="97"/>
      <c r="C687" s="93" t="s">
        <v>127</v>
      </c>
      <c r="D687" s="93" t="s">
        <v>158</v>
      </c>
      <c r="E687" s="98" t="s">
        <v>342</v>
      </c>
      <c r="F687" s="76"/>
      <c r="G687" s="58">
        <f>G688</f>
        <v>200</v>
      </c>
      <c r="H687" s="336"/>
      <c r="I687" s="336"/>
      <c r="J687" s="336"/>
      <c r="K687" s="336"/>
      <c r="L687" s="336"/>
      <c r="M687" s="336"/>
      <c r="N687" s="336"/>
      <c r="O687" s="336"/>
      <c r="P687" s="336"/>
      <c r="Q687" s="337"/>
      <c r="R687" s="336"/>
      <c r="S687" s="336"/>
      <c r="T687" s="336"/>
      <c r="U687" s="336"/>
      <c r="V687" s="336"/>
      <c r="W687" s="58">
        <f aca="true" t="shared" si="42" ref="W687:X689">W688</f>
        <v>200</v>
      </c>
      <c r="X687" s="58">
        <f t="shared" si="42"/>
        <v>0</v>
      </c>
    </row>
    <row r="688" spans="1:24" s="307" customFormat="1" ht="31.5">
      <c r="A688" s="238" t="s">
        <v>629</v>
      </c>
      <c r="B688" s="97"/>
      <c r="C688" s="80" t="s">
        <v>127</v>
      </c>
      <c r="D688" s="80" t="s">
        <v>158</v>
      </c>
      <c r="E688" s="81" t="s">
        <v>628</v>
      </c>
      <c r="F688" s="76"/>
      <c r="G688" s="62">
        <f>G689</f>
        <v>200</v>
      </c>
      <c r="H688" s="336"/>
      <c r="I688" s="336"/>
      <c r="J688" s="336"/>
      <c r="K688" s="336"/>
      <c r="L688" s="336"/>
      <c r="M688" s="336"/>
      <c r="N688" s="336"/>
      <c r="O688" s="336"/>
      <c r="P688" s="336"/>
      <c r="Q688" s="337"/>
      <c r="R688" s="336"/>
      <c r="S688" s="336"/>
      <c r="T688" s="336"/>
      <c r="U688" s="336"/>
      <c r="V688" s="336"/>
      <c r="W688" s="62">
        <f t="shared" si="42"/>
        <v>200</v>
      </c>
      <c r="X688" s="62">
        <f t="shared" si="42"/>
        <v>0</v>
      </c>
    </row>
    <row r="689" spans="1:24" s="307" customFormat="1" ht="15.75">
      <c r="A689" s="163" t="s">
        <v>89</v>
      </c>
      <c r="B689" s="97"/>
      <c r="C689" s="80" t="s">
        <v>127</v>
      </c>
      <c r="D689" s="80" t="s">
        <v>158</v>
      </c>
      <c r="E689" s="81" t="s">
        <v>628</v>
      </c>
      <c r="F689" s="76" t="s">
        <v>85</v>
      </c>
      <c r="G689" s="62">
        <f>G690</f>
        <v>200</v>
      </c>
      <c r="H689" s="336"/>
      <c r="I689" s="336"/>
      <c r="J689" s="336"/>
      <c r="K689" s="336"/>
      <c r="L689" s="336"/>
      <c r="M689" s="336"/>
      <c r="N689" s="336"/>
      <c r="O689" s="336"/>
      <c r="P689" s="336"/>
      <c r="Q689" s="337"/>
      <c r="R689" s="336"/>
      <c r="S689" s="336"/>
      <c r="T689" s="336"/>
      <c r="U689" s="336"/>
      <c r="V689" s="336"/>
      <c r="W689" s="62">
        <f t="shared" si="42"/>
        <v>200</v>
      </c>
      <c r="X689" s="62">
        <f t="shared" si="42"/>
        <v>0</v>
      </c>
    </row>
    <row r="690" spans="1:24" s="307" customFormat="1" ht="15.75">
      <c r="A690" s="238" t="s">
        <v>424</v>
      </c>
      <c r="B690" s="97"/>
      <c r="C690" s="80" t="s">
        <v>127</v>
      </c>
      <c r="D690" s="80" t="s">
        <v>158</v>
      </c>
      <c r="E690" s="81" t="s">
        <v>628</v>
      </c>
      <c r="F690" s="76" t="s">
        <v>423</v>
      </c>
      <c r="G690" s="62">
        <v>200</v>
      </c>
      <c r="H690" s="336"/>
      <c r="I690" s="336"/>
      <c r="J690" s="336"/>
      <c r="K690" s="336"/>
      <c r="L690" s="336"/>
      <c r="M690" s="336"/>
      <c r="N690" s="336"/>
      <c r="O690" s="336"/>
      <c r="P690" s="336"/>
      <c r="Q690" s="337"/>
      <c r="R690" s="336"/>
      <c r="S690" s="336"/>
      <c r="T690" s="336"/>
      <c r="U690" s="336"/>
      <c r="V690" s="336"/>
      <c r="W690" s="62">
        <v>200</v>
      </c>
      <c r="X690" s="62">
        <f>G690-W690</f>
        <v>0</v>
      </c>
    </row>
    <row r="691" spans="1:24" ht="15.75">
      <c r="A691" s="245" t="s">
        <v>159</v>
      </c>
      <c r="B691" s="54"/>
      <c r="C691" s="45" t="s">
        <v>127</v>
      </c>
      <c r="D691" s="45" t="s">
        <v>170</v>
      </c>
      <c r="E691" s="52"/>
      <c r="F691" s="56"/>
      <c r="G691" s="58">
        <f>G692</f>
        <v>3449.9</v>
      </c>
      <c r="W691" s="58">
        <f aca="true" t="shared" si="43" ref="W691:X693">W692</f>
        <v>1406.7</v>
      </c>
      <c r="X691" s="58">
        <f t="shared" si="43"/>
        <v>2043.2</v>
      </c>
    </row>
    <row r="692" spans="1:24" ht="24.75" customHeight="1">
      <c r="A692" s="239" t="s">
        <v>447</v>
      </c>
      <c r="B692" s="54"/>
      <c r="C692" s="45" t="s">
        <v>127</v>
      </c>
      <c r="D692" s="45" t="s">
        <v>170</v>
      </c>
      <c r="E692" s="52" t="s">
        <v>82</v>
      </c>
      <c r="F692" s="56"/>
      <c r="G692" s="58">
        <f>G693</f>
        <v>3449.9</v>
      </c>
      <c r="W692" s="58">
        <f t="shared" si="43"/>
        <v>1406.7</v>
      </c>
      <c r="X692" s="58">
        <f t="shared" si="43"/>
        <v>2043.2</v>
      </c>
    </row>
    <row r="693" spans="1:24" s="307" customFormat="1" ht="19.5" customHeight="1">
      <c r="A693" s="239" t="s">
        <v>448</v>
      </c>
      <c r="B693" s="54"/>
      <c r="C693" s="45" t="s">
        <v>127</v>
      </c>
      <c r="D693" s="45" t="s">
        <v>170</v>
      </c>
      <c r="E693" s="52" t="s">
        <v>449</v>
      </c>
      <c r="F693" s="56"/>
      <c r="G693" s="58">
        <f>G694</f>
        <v>3449.9</v>
      </c>
      <c r="H693" s="336"/>
      <c r="I693" s="336"/>
      <c r="J693" s="336"/>
      <c r="K693" s="336"/>
      <c r="L693" s="336"/>
      <c r="M693" s="336"/>
      <c r="N693" s="336"/>
      <c r="O693" s="336"/>
      <c r="P693" s="336"/>
      <c r="Q693" s="337"/>
      <c r="R693" s="336"/>
      <c r="S693" s="336"/>
      <c r="T693" s="336"/>
      <c r="U693" s="336"/>
      <c r="V693" s="336"/>
      <c r="W693" s="58">
        <f t="shared" si="43"/>
        <v>1406.7</v>
      </c>
      <c r="X693" s="58">
        <f t="shared" si="43"/>
        <v>2043.2</v>
      </c>
    </row>
    <row r="694" spans="1:24" s="307" customFormat="1" ht="16.5" customHeight="1">
      <c r="A694" s="238" t="s">
        <v>451</v>
      </c>
      <c r="B694" s="66"/>
      <c r="C694" s="48" t="s">
        <v>127</v>
      </c>
      <c r="D694" s="48" t="s">
        <v>170</v>
      </c>
      <c r="E694" s="49" t="s">
        <v>450</v>
      </c>
      <c r="F694" s="56"/>
      <c r="G694" s="62">
        <f>SUM(G695)</f>
        <v>3449.9</v>
      </c>
      <c r="H694" s="336"/>
      <c r="I694" s="336"/>
      <c r="J694" s="336"/>
      <c r="K694" s="336"/>
      <c r="L694" s="336"/>
      <c r="M694" s="336"/>
      <c r="N694" s="336"/>
      <c r="O694" s="336"/>
      <c r="P694" s="336"/>
      <c r="Q694" s="337"/>
      <c r="R694" s="336"/>
      <c r="S694" s="336"/>
      <c r="T694" s="336"/>
      <c r="U694" s="336"/>
      <c r="V694" s="336"/>
      <c r="W694" s="62">
        <f>SUM(W695)</f>
        <v>1406.7</v>
      </c>
      <c r="X694" s="62">
        <f>SUM(X695)</f>
        <v>2043.2</v>
      </c>
    </row>
    <row r="695" spans="1:24" ht="20.25" customHeight="1">
      <c r="A695" s="281" t="s">
        <v>89</v>
      </c>
      <c r="B695" s="66"/>
      <c r="C695" s="48" t="s">
        <v>127</v>
      </c>
      <c r="D695" s="48" t="s">
        <v>170</v>
      </c>
      <c r="E695" s="49" t="s">
        <v>450</v>
      </c>
      <c r="F695" s="56" t="s">
        <v>85</v>
      </c>
      <c r="G695" s="62">
        <f>G696</f>
        <v>3449.9</v>
      </c>
      <c r="W695" s="62">
        <f>W696</f>
        <v>1406.7</v>
      </c>
      <c r="X695" s="62">
        <f>X696</f>
        <v>2043.2</v>
      </c>
    </row>
    <row r="696" spans="1:24" ht="15.75">
      <c r="A696" s="282" t="s">
        <v>84</v>
      </c>
      <c r="B696" s="66"/>
      <c r="C696" s="48" t="s">
        <v>127</v>
      </c>
      <c r="D696" s="48" t="s">
        <v>170</v>
      </c>
      <c r="E696" s="49" t="s">
        <v>450</v>
      </c>
      <c r="F696" s="56" t="s">
        <v>86</v>
      </c>
      <c r="G696" s="62">
        <v>3449.9</v>
      </c>
      <c r="W696" s="62">
        <v>1406.7</v>
      </c>
      <c r="X696" s="62">
        <f>G696-W696</f>
        <v>2043.2</v>
      </c>
    </row>
    <row r="697" spans="1:24" ht="15.75">
      <c r="A697" s="234" t="s">
        <v>162</v>
      </c>
      <c r="B697" s="51"/>
      <c r="C697" s="45" t="s">
        <v>156</v>
      </c>
      <c r="D697" s="45"/>
      <c r="E697" s="52"/>
      <c r="F697" s="57"/>
      <c r="G697" s="58">
        <f>G698+G709</f>
        <v>25936.1</v>
      </c>
      <c r="W697" s="58">
        <f>W698+W709</f>
        <v>25272.8</v>
      </c>
      <c r="X697" s="58">
        <f>X698+X709</f>
        <v>663.3</v>
      </c>
    </row>
    <row r="698" spans="1:24" ht="15.75">
      <c r="A698" s="234" t="s">
        <v>185</v>
      </c>
      <c r="B698" s="51"/>
      <c r="C698" s="45" t="s">
        <v>156</v>
      </c>
      <c r="D698" s="45" t="s">
        <v>171</v>
      </c>
      <c r="E698" s="52"/>
      <c r="F698" s="57"/>
      <c r="G698" s="58">
        <f>G699</f>
        <v>3734.8</v>
      </c>
      <c r="R698" s="333" t="e">
        <f>G698+#REF!</f>
        <v>#REF!</v>
      </c>
      <c r="W698" s="58">
        <f>W699</f>
        <v>3734.8</v>
      </c>
      <c r="X698" s="58">
        <f>X699</f>
        <v>0</v>
      </c>
    </row>
    <row r="699" spans="1:24" ht="31.5">
      <c r="A699" s="258" t="s">
        <v>601</v>
      </c>
      <c r="B699" s="51"/>
      <c r="C699" s="45" t="s">
        <v>156</v>
      </c>
      <c r="D699" s="45" t="s">
        <v>171</v>
      </c>
      <c r="E699" s="52" t="s">
        <v>38</v>
      </c>
      <c r="F699" s="57"/>
      <c r="G699" s="58">
        <f>G700</f>
        <v>3734.8</v>
      </c>
      <c r="W699" s="58">
        <f>W700</f>
        <v>3734.8</v>
      </c>
      <c r="X699" s="58">
        <f>X700</f>
        <v>0</v>
      </c>
    </row>
    <row r="700" spans="1:24" ht="15.75">
      <c r="A700" s="283" t="s">
        <v>549</v>
      </c>
      <c r="B700" s="51"/>
      <c r="C700" s="45" t="s">
        <v>156</v>
      </c>
      <c r="D700" s="45" t="s">
        <v>171</v>
      </c>
      <c r="E700" s="52" t="s">
        <v>225</v>
      </c>
      <c r="F700" s="57"/>
      <c r="G700" s="58">
        <f>G701+G706</f>
        <v>3734.8</v>
      </c>
      <c r="Q700" s="334"/>
      <c r="W700" s="58">
        <f>W701+W706</f>
        <v>3734.8</v>
      </c>
      <c r="X700" s="58">
        <f>X701+X706</f>
        <v>0</v>
      </c>
    </row>
    <row r="701" spans="1:24" ht="15.75">
      <c r="A701" s="235" t="s">
        <v>318</v>
      </c>
      <c r="B701" s="47"/>
      <c r="C701" s="48" t="s">
        <v>156</v>
      </c>
      <c r="D701" s="48" t="s">
        <v>171</v>
      </c>
      <c r="E701" s="49" t="s">
        <v>39</v>
      </c>
      <c r="F701" s="56"/>
      <c r="G701" s="62">
        <f>G703+G705</f>
        <v>1334.8</v>
      </c>
      <c r="W701" s="62">
        <f>W703+W705</f>
        <v>1334.8</v>
      </c>
      <c r="X701" s="62">
        <f>X703+X705</f>
        <v>0</v>
      </c>
    </row>
    <row r="702" spans="1:24" ht="15.75">
      <c r="A702" s="237" t="s">
        <v>226</v>
      </c>
      <c r="B702" s="47"/>
      <c r="C702" s="48" t="s">
        <v>156</v>
      </c>
      <c r="D702" s="48" t="s">
        <v>171</v>
      </c>
      <c r="E702" s="49" t="s">
        <v>39</v>
      </c>
      <c r="F702" s="56" t="s">
        <v>188</v>
      </c>
      <c r="G702" s="62">
        <f>G703</f>
        <v>1274.8</v>
      </c>
      <c r="W702" s="62">
        <f>W703</f>
        <v>1274.8</v>
      </c>
      <c r="X702" s="62">
        <f>X703</f>
        <v>0</v>
      </c>
    </row>
    <row r="703" spans="1:24" ht="15.75">
      <c r="A703" s="257" t="s">
        <v>189</v>
      </c>
      <c r="B703" s="47"/>
      <c r="C703" s="48" t="s">
        <v>156</v>
      </c>
      <c r="D703" s="48" t="s">
        <v>171</v>
      </c>
      <c r="E703" s="49" t="s">
        <v>39</v>
      </c>
      <c r="F703" s="56" t="s">
        <v>187</v>
      </c>
      <c r="G703" s="62">
        <v>1274.8</v>
      </c>
      <c r="W703" s="62">
        <v>1274.8</v>
      </c>
      <c r="X703" s="62">
        <f>G703-W703</f>
        <v>0</v>
      </c>
    </row>
    <row r="704" spans="1:24" ht="31.5">
      <c r="A704" s="163" t="s">
        <v>190</v>
      </c>
      <c r="B704" s="47"/>
      <c r="C704" s="48" t="s">
        <v>156</v>
      </c>
      <c r="D704" s="48" t="s">
        <v>171</v>
      </c>
      <c r="E704" s="49" t="s">
        <v>39</v>
      </c>
      <c r="F704" s="56" t="s">
        <v>178</v>
      </c>
      <c r="G704" s="62">
        <f>G705</f>
        <v>60</v>
      </c>
      <c r="W704" s="62">
        <f>W705</f>
        <v>60</v>
      </c>
      <c r="X704" s="62">
        <f>X705</f>
        <v>0</v>
      </c>
    </row>
    <row r="705" spans="1:24" ht="18" customHeight="1">
      <c r="A705" s="253" t="s">
        <v>191</v>
      </c>
      <c r="B705" s="47"/>
      <c r="C705" s="48" t="s">
        <v>156</v>
      </c>
      <c r="D705" s="48" t="s">
        <v>171</v>
      </c>
      <c r="E705" s="49" t="s">
        <v>39</v>
      </c>
      <c r="F705" s="56" t="s">
        <v>192</v>
      </c>
      <c r="G705" s="62">
        <v>60</v>
      </c>
      <c r="W705" s="62">
        <v>60</v>
      </c>
      <c r="X705" s="62">
        <f>G705-W705</f>
        <v>0</v>
      </c>
    </row>
    <row r="706" spans="1:24" ht="15" customHeight="1">
      <c r="A706" s="271" t="s">
        <v>308</v>
      </c>
      <c r="B706" s="47"/>
      <c r="C706" s="48" t="s">
        <v>156</v>
      </c>
      <c r="D706" s="48" t="s">
        <v>171</v>
      </c>
      <c r="E706" s="56" t="s">
        <v>265</v>
      </c>
      <c r="F706" s="56"/>
      <c r="G706" s="62">
        <f>G707</f>
        <v>2400</v>
      </c>
      <c r="W706" s="62">
        <f>W707</f>
        <v>2400</v>
      </c>
      <c r="X706" s="62">
        <f>X707</f>
        <v>0</v>
      </c>
    </row>
    <row r="707" spans="1:24" ht="15" customHeight="1">
      <c r="A707" s="271" t="s">
        <v>190</v>
      </c>
      <c r="B707" s="47"/>
      <c r="C707" s="48" t="s">
        <v>156</v>
      </c>
      <c r="D707" s="48" t="s">
        <v>171</v>
      </c>
      <c r="E707" s="56" t="s">
        <v>265</v>
      </c>
      <c r="F707" s="56" t="s">
        <v>178</v>
      </c>
      <c r="G707" s="62">
        <f>G708</f>
        <v>2400</v>
      </c>
      <c r="W707" s="62">
        <f>W708</f>
        <v>2400</v>
      </c>
      <c r="X707" s="62">
        <f>X708</f>
        <v>0</v>
      </c>
    </row>
    <row r="708" spans="1:24" ht="15" customHeight="1">
      <c r="A708" s="271" t="s">
        <v>191</v>
      </c>
      <c r="B708" s="47"/>
      <c r="C708" s="48" t="s">
        <v>156</v>
      </c>
      <c r="D708" s="48" t="s">
        <v>171</v>
      </c>
      <c r="E708" s="56" t="s">
        <v>265</v>
      </c>
      <c r="F708" s="56" t="s">
        <v>192</v>
      </c>
      <c r="G708" s="62">
        <v>2400</v>
      </c>
      <c r="W708" s="62">
        <v>2400</v>
      </c>
      <c r="X708" s="62">
        <f>G708-W708</f>
        <v>0</v>
      </c>
    </row>
    <row r="709" spans="1:24" ht="15" customHeight="1">
      <c r="A709" s="256" t="s">
        <v>620</v>
      </c>
      <c r="B709" s="51"/>
      <c r="C709" s="45" t="s">
        <v>156</v>
      </c>
      <c r="D709" s="45" t="s">
        <v>158</v>
      </c>
      <c r="E709" s="57"/>
      <c r="F709" s="57"/>
      <c r="G709" s="58">
        <f>G710</f>
        <v>22201.3</v>
      </c>
      <c r="W709" s="58">
        <f>W710</f>
        <v>21538</v>
      </c>
      <c r="X709" s="58">
        <f>X710</f>
        <v>663.3</v>
      </c>
    </row>
    <row r="710" spans="1:24" ht="29.25" customHeight="1">
      <c r="A710" s="258" t="s">
        <v>601</v>
      </c>
      <c r="B710" s="51"/>
      <c r="C710" s="45" t="s">
        <v>156</v>
      </c>
      <c r="D710" s="45" t="s">
        <v>158</v>
      </c>
      <c r="E710" s="52" t="s">
        <v>38</v>
      </c>
      <c r="F710" s="57"/>
      <c r="G710" s="58">
        <f>G711</f>
        <v>22201.3</v>
      </c>
      <c r="W710" s="58">
        <f>W711</f>
        <v>21538</v>
      </c>
      <c r="X710" s="58">
        <f>X711</f>
        <v>663.3</v>
      </c>
    </row>
    <row r="711" spans="1:24" ht="31.5">
      <c r="A711" s="315" t="s">
        <v>353</v>
      </c>
      <c r="B711" s="47"/>
      <c r="C711" s="45" t="s">
        <v>156</v>
      </c>
      <c r="D711" s="45" t="s">
        <v>158</v>
      </c>
      <c r="E711" s="52" t="s">
        <v>40</v>
      </c>
      <c r="F711" s="57"/>
      <c r="G711" s="58">
        <f>G712+G715+G718+G721+G724+G727+G730+G733+G736+G739+G742</f>
        <v>22201.3</v>
      </c>
      <c r="H711" s="338"/>
      <c r="W711" s="58">
        <f>W712+W715+W718+W721+W724+W727+W730+W733+W736+W739+W742</f>
        <v>21538</v>
      </c>
      <c r="X711" s="58">
        <f>X712+X715+X718+X721+X724+X727+X730+X733+X736+X739+X742</f>
        <v>663.3</v>
      </c>
    </row>
    <row r="712" spans="1:24" ht="15.75">
      <c r="A712" s="268" t="s">
        <v>104</v>
      </c>
      <c r="B712" s="47"/>
      <c r="C712" s="48" t="s">
        <v>156</v>
      </c>
      <c r="D712" s="48" t="s">
        <v>158</v>
      </c>
      <c r="E712" s="49" t="s">
        <v>366</v>
      </c>
      <c r="F712" s="56"/>
      <c r="G712" s="62">
        <f>G713</f>
        <v>15524.5</v>
      </c>
      <c r="W712" s="62">
        <f>W713</f>
        <v>15524.5</v>
      </c>
      <c r="X712" s="62">
        <f>X713</f>
        <v>0</v>
      </c>
    </row>
    <row r="713" spans="1:24" ht="15" customHeight="1">
      <c r="A713" s="163" t="s">
        <v>190</v>
      </c>
      <c r="B713" s="47"/>
      <c r="C713" s="48" t="s">
        <v>156</v>
      </c>
      <c r="D713" s="48" t="s">
        <v>158</v>
      </c>
      <c r="E713" s="49" t="s">
        <v>366</v>
      </c>
      <c r="F713" s="56" t="s">
        <v>178</v>
      </c>
      <c r="G713" s="62">
        <f>G714</f>
        <v>15524.5</v>
      </c>
      <c r="W713" s="62">
        <f>W714</f>
        <v>15524.5</v>
      </c>
      <c r="X713" s="62">
        <f>X714</f>
        <v>0</v>
      </c>
    </row>
    <row r="714" spans="1:24" ht="17.25" customHeight="1">
      <c r="A714" s="253" t="s">
        <v>191</v>
      </c>
      <c r="B714" s="47"/>
      <c r="C714" s="48" t="s">
        <v>156</v>
      </c>
      <c r="D714" s="48" t="s">
        <v>158</v>
      </c>
      <c r="E714" s="49" t="s">
        <v>366</v>
      </c>
      <c r="F714" s="56" t="s">
        <v>192</v>
      </c>
      <c r="G714" s="62">
        <v>15524.5</v>
      </c>
      <c r="H714" s="338"/>
      <c r="W714" s="62">
        <v>15524.5</v>
      </c>
      <c r="X714" s="62">
        <f>G714-W714</f>
        <v>0</v>
      </c>
    </row>
    <row r="715" spans="1:24" ht="30.75" customHeight="1">
      <c r="A715" s="271" t="s">
        <v>626</v>
      </c>
      <c r="B715" s="47"/>
      <c r="C715" s="48" t="s">
        <v>156</v>
      </c>
      <c r="D715" s="48" t="s">
        <v>158</v>
      </c>
      <c r="E715" s="56" t="s">
        <v>599</v>
      </c>
      <c r="F715" s="56"/>
      <c r="G715" s="62">
        <f>G716</f>
        <v>25</v>
      </c>
      <c r="H715" s="338"/>
      <c r="W715" s="62">
        <f>W716</f>
        <v>25</v>
      </c>
      <c r="X715" s="62">
        <f>X716</f>
        <v>0</v>
      </c>
    </row>
    <row r="716" spans="1:24" ht="17.25" customHeight="1">
      <c r="A716" s="271" t="s">
        <v>190</v>
      </c>
      <c r="B716" s="47"/>
      <c r="C716" s="48" t="s">
        <v>156</v>
      </c>
      <c r="D716" s="48" t="s">
        <v>158</v>
      </c>
      <c r="E716" s="56" t="s">
        <v>599</v>
      </c>
      <c r="F716" s="56" t="s">
        <v>178</v>
      </c>
      <c r="G716" s="62">
        <f>G717</f>
        <v>25</v>
      </c>
      <c r="H716" s="338"/>
      <c r="W716" s="62">
        <f>W717</f>
        <v>25</v>
      </c>
      <c r="X716" s="62">
        <f>X717</f>
        <v>0</v>
      </c>
    </row>
    <row r="717" spans="1:24" ht="17.25" customHeight="1">
      <c r="A717" s="271" t="s">
        <v>191</v>
      </c>
      <c r="B717" s="47"/>
      <c r="C717" s="48" t="s">
        <v>156</v>
      </c>
      <c r="D717" s="48" t="s">
        <v>158</v>
      </c>
      <c r="E717" s="56" t="s">
        <v>599</v>
      </c>
      <c r="F717" s="56" t="s">
        <v>192</v>
      </c>
      <c r="G717" s="62">
        <v>25</v>
      </c>
      <c r="H717" s="338"/>
      <c r="W717" s="62">
        <v>25</v>
      </c>
      <c r="X717" s="62">
        <f>G717-W717</f>
        <v>0</v>
      </c>
    </row>
    <row r="718" spans="1:24" ht="15.75">
      <c r="A718" s="257" t="s">
        <v>216</v>
      </c>
      <c r="B718" s="47"/>
      <c r="C718" s="48" t="s">
        <v>156</v>
      </c>
      <c r="D718" s="48" t="s">
        <v>158</v>
      </c>
      <c r="E718" s="49" t="s">
        <v>367</v>
      </c>
      <c r="F718" s="56"/>
      <c r="G718" s="62">
        <f>G719</f>
        <v>100</v>
      </c>
      <c r="W718" s="62">
        <f>W719</f>
        <v>100</v>
      </c>
      <c r="X718" s="62">
        <f>X719</f>
        <v>0</v>
      </c>
    </row>
    <row r="719" spans="1:24" ht="15" customHeight="1">
      <c r="A719" s="163" t="s">
        <v>190</v>
      </c>
      <c r="B719" s="47"/>
      <c r="C719" s="48" t="s">
        <v>156</v>
      </c>
      <c r="D719" s="48" t="s">
        <v>158</v>
      </c>
      <c r="E719" s="49" t="s">
        <v>367</v>
      </c>
      <c r="F719" s="56" t="s">
        <v>178</v>
      </c>
      <c r="G719" s="62">
        <f>G720</f>
        <v>100</v>
      </c>
      <c r="W719" s="62">
        <f>W720</f>
        <v>100</v>
      </c>
      <c r="X719" s="62">
        <f>X720</f>
        <v>0</v>
      </c>
    </row>
    <row r="720" spans="1:24" ht="17.25" customHeight="1">
      <c r="A720" s="253" t="s">
        <v>191</v>
      </c>
      <c r="B720" s="47"/>
      <c r="C720" s="48" t="s">
        <v>156</v>
      </c>
      <c r="D720" s="48" t="s">
        <v>158</v>
      </c>
      <c r="E720" s="49" t="s">
        <v>367</v>
      </c>
      <c r="F720" s="56" t="s">
        <v>192</v>
      </c>
      <c r="G720" s="62">
        <v>100</v>
      </c>
      <c r="H720" s="338"/>
      <c r="W720" s="62">
        <v>100</v>
      </c>
      <c r="X720" s="62">
        <f>G720-W720</f>
        <v>0</v>
      </c>
    </row>
    <row r="721" spans="1:24" ht="17.25" customHeight="1">
      <c r="A721" s="271" t="s">
        <v>7</v>
      </c>
      <c r="B721" s="47"/>
      <c r="C721" s="48" t="s">
        <v>156</v>
      </c>
      <c r="D721" s="48" t="s">
        <v>158</v>
      </c>
      <c r="E721" s="56" t="s">
        <v>600</v>
      </c>
      <c r="F721" s="56"/>
      <c r="G721" s="62">
        <f>G722</f>
        <v>1500</v>
      </c>
      <c r="H721" s="338"/>
      <c r="W721" s="62">
        <f>W722</f>
        <v>1500</v>
      </c>
      <c r="X721" s="62">
        <f>X722</f>
        <v>0</v>
      </c>
    </row>
    <row r="722" spans="1:24" ht="17.25" customHeight="1">
      <c r="A722" s="271" t="s">
        <v>190</v>
      </c>
      <c r="B722" s="47"/>
      <c r="C722" s="48" t="s">
        <v>156</v>
      </c>
      <c r="D722" s="48" t="s">
        <v>158</v>
      </c>
      <c r="E722" s="56" t="s">
        <v>600</v>
      </c>
      <c r="F722" s="56" t="s">
        <v>178</v>
      </c>
      <c r="G722" s="62">
        <f>G723</f>
        <v>1500</v>
      </c>
      <c r="H722" s="338"/>
      <c r="W722" s="62">
        <f>W723</f>
        <v>1500</v>
      </c>
      <c r="X722" s="62">
        <f>X723</f>
        <v>0</v>
      </c>
    </row>
    <row r="723" spans="1:24" ht="17.25" customHeight="1">
      <c r="A723" s="271" t="s">
        <v>191</v>
      </c>
      <c r="B723" s="47"/>
      <c r="C723" s="48" t="s">
        <v>156</v>
      </c>
      <c r="D723" s="48" t="s">
        <v>158</v>
      </c>
      <c r="E723" s="56" t="s">
        <v>600</v>
      </c>
      <c r="F723" s="56" t="s">
        <v>192</v>
      </c>
      <c r="G723" s="62">
        <f>100+1400</f>
        <v>1500</v>
      </c>
      <c r="H723" s="338"/>
      <c r="W723" s="62">
        <f>100+1400</f>
        <v>1500</v>
      </c>
      <c r="X723" s="62">
        <f>G723-W723</f>
        <v>0</v>
      </c>
    </row>
    <row r="724" spans="1:24" ht="31.5">
      <c r="A724" s="244" t="s">
        <v>267</v>
      </c>
      <c r="B724" s="47"/>
      <c r="C724" s="48" t="s">
        <v>156</v>
      </c>
      <c r="D724" s="48" t="s">
        <v>158</v>
      </c>
      <c r="E724" s="49" t="s">
        <v>368</v>
      </c>
      <c r="F724" s="56"/>
      <c r="G724" s="62">
        <f>G725</f>
        <v>3.5</v>
      </c>
      <c r="W724" s="62">
        <f>W725</f>
        <v>3.5</v>
      </c>
      <c r="X724" s="62">
        <f>X725</f>
        <v>0</v>
      </c>
    </row>
    <row r="725" spans="1:24" ht="31.5">
      <c r="A725" s="163" t="s">
        <v>190</v>
      </c>
      <c r="B725" s="47"/>
      <c r="C725" s="48" t="s">
        <v>156</v>
      </c>
      <c r="D725" s="48" t="s">
        <v>158</v>
      </c>
      <c r="E725" s="49" t="s">
        <v>368</v>
      </c>
      <c r="F725" s="56" t="s">
        <v>290</v>
      </c>
      <c r="G725" s="62">
        <f>G726</f>
        <v>3.5</v>
      </c>
      <c r="W725" s="62">
        <f>W726</f>
        <v>3.5</v>
      </c>
      <c r="X725" s="62">
        <f>X726</f>
        <v>0</v>
      </c>
    </row>
    <row r="726" spans="1:24" ht="15.75">
      <c r="A726" s="253" t="s">
        <v>191</v>
      </c>
      <c r="B726" s="47"/>
      <c r="C726" s="48" t="s">
        <v>156</v>
      </c>
      <c r="D726" s="48" t="s">
        <v>158</v>
      </c>
      <c r="E726" s="49" t="s">
        <v>368</v>
      </c>
      <c r="F726" s="56" t="s">
        <v>192</v>
      </c>
      <c r="G726" s="62">
        <v>3.5</v>
      </c>
      <c r="W726" s="62">
        <v>3.5</v>
      </c>
      <c r="X726" s="62">
        <f>G726-W726</f>
        <v>0</v>
      </c>
    </row>
    <row r="727" spans="1:24" ht="16.5" customHeight="1">
      <c r="A727" s="257" t="s">
        <v>268</v>
      </c>
      <c r="B727" s="47"/>
      <c r="C727" s="48" t="s">
        <v>156</v>
      </c>
      <c r="D727" s="48" t="s">
        <v>158</v>
      </c>
      <c r="E727" s="49" t="s">
        <v>369</v>
      </c>
      <c r="F727" s="56"/>
      <c r="G727" s="62">
        <f>G728</f>
        <v>235</v>
      </c>
      <c r="W727" s="62">
        <f>W728</f>
        <v>235</v>
      </c>
      <c r="X727" s="62">
        <f>X728</f>
        <v>0</v>
      </c>
    </row>
    <row r="728" spans="1:24" ht="31.5">
      <c r="A728" s="163" t="s">
        <v>190</v>
      </c>
      <c r="B728" s="47"/>
      <c r="C728" s="48" t="s">
        <v>156</v>
      </c>
      <c r="D728" s="48" t="s">
        <v>158</v>
      </c>
      <c r="E728" s="49" t="s">
        <v>369</v>
      </c>
      <c r="F728" s="56" t="s">
        <v>290</v>
      </c>
      <c r="G728" s="62">
        <f>G729</f>
        <v>235</v>
      </c>
      <c r="W728" s="62">
        <f>W729</f>
        <v>235</v>
      </c>
      <c r="X728" s="62">
        <f>X729</f>
        <v>0</v>
      </c>
    </row>
    <row r="729" spans="1:24" ht="15.75">
      <c r="A729" s="253" t="s">
        <v>191</v>
      </c>
      <c r="B729" s="47"/>
      <c r="C729" s="48" t="s">
        <v>156</v>
      </c>
      <c r="D729" s="48" t="s">
        <v>158</v>
      </c>
      <c r="E729" s="49" t="s">
        <v>369</v>
      </c>
      <c r="F729" s="56" t="s">
        <v>192</v>
      </c>
      <c r="G729" s="62">
        <v>235</v>
      </c>
      <c r="W729" s="62">
        <v>235</v>
      </c>
      <c r="X729" s="62">
        <f>G729-W729</f>
        <v>0</v>
      </c>
    </row>
    <row r="730" spans="1:24" ht="15.75">
      <c r="A730" s="64" t="s">
        <v>269</v>
      </c>
      <c r="B730" s="47"/>
      <c r="C730" s="48" t="s">
        <v>156</v>
      </c>
      <c r="D730" s="48" t="s">
        <v>158</v>
      </c>
      <c r="E730" s="49" t="s">
        <v>666</v>
      </c>
      <c r="F730" s="56"/>
      <c r="G730" s="62">
        <f>G731</f>
        <v>1263.3</v>
      </c>
      <c r="W730" s="62">
        <f>W731</f>
        <v>300</v>
      </c>
      <c r="X730" s="62">
        <f>X731</f>
        <v>963.3</v>
      </c>
    </row>
    <row r="731" spans="1:24" ht="15.75">
      <c r="A731" s="64" t="s">
        <v>190</v>
      </c>
      <c r="B731" s="47"/>
      <c r="C731" s="48" t="s">
        <v>156</v>
      </c>
      <c r="D731" s="48" t="s">
        <v>158</v>
      </c>
      <c r="E731" s="49" t="s">
        <v>666</v>
      </c>
      <c r="F731" s="56" t="s">
        <v>290</v>
      </c>
      <c r="G731" s="62">
        <f>G732</f>
        <v>1263.3</v>
      </c>
      <c r="W731" s="62">
        <f>W732</f>
        <v>300</v>
      </c>
      <c r="X731" s="62">
        <f>X732</f>
        <v>963.3</v>
      </c>
    </row>
    <row r="732" spans="1:24" ht="15.75">
      <c r="A732" s="64" t="s">
        <v>191</v>
      </c>
      <c r="B732" s="47"/>
      <c r="C732" s="48" t="s">
        <v>156</v>
      </c>
      <c r="D732" s="48" t="s">
        <v>158</v>
      </c>
      <c r="E732" s="49" t="s">
        <v>666</v>
      </c>
      <c r="F732" s="56" t="s">
        <v>192</v>
      </c>
      <c r="G732" s="62">
        <f>300+663.3+300</f>
        <v>1263.3</v>
      </c>
      <c r="W732" s="62">
        <v>300</v>
      </c>
      <c r="X732" s="62">
        <f>G732-W732</f>
        <v>963.3</v>
      </c>
    </row>
    <row r="733" spans="1:24" ht="20.25" customHeight="1">
      <c r="A733" s="235" t="s">
        <v>270</v>
      </c>
      <c r="B733" s="47"/>
      <c r="C733" s="48" t="s">
        <v>156</v>
      </c>
      <c r="D733" s="48" t="s">
        <v>158</v>
      </c>
      <c r="E733" s="49" t="s">
        <v>370</v>
      </c>
      <c r="F733" s="56"/>
      <c r="G733" s="62">
        <f>G734</f>
        <v>900</v>
      </c>
      <c r="W733" s="62">
        <f>W734</f>
        <v>900</v>
      </c>
      <c r="X733" s="62">
        <f>X734</f>
        <v>0</v>
      </c>
    </row>
    <row r="734" spans="1:24" ht="31.5">
      <c r="A734" s="163" t="s">
        <v>190</v>
      </c>
      <c r="B734" s="47"/>
      <c r="C734" s="48" t="s">
        <v>156</v>
      </c>
      <c r="D734" s="48" t="s">
        <v>158</v>
      </c>
      <c r="E734" s="49" t="s">
        <v>370</v>
      </c>
      <c r="F734" s="56" t="s">
        <v>290</v>
      </c>
      <c r="G734" s="62">
        <f>G735</f>
        <v>900</v>
      </c>
      <c r="W734" s="62">
        <f>W735</f>
        <v>900</v>
      </c>
      <c r="X734" s="62">
        <f>X735</f>
        <v>0</v>
      </c>
    </row>
    <row r="735" spans="1:24" ht="18" customHeight="1">
      <c r="A735" s="253" t="s">
        <v>191</v>
      </c>
      <c r="B735" s="47"/>
      <c r="C735" s="48" t="s">
        <v>156</v>
      </c>
      <c r="D735" s="48" t="s">
        <v>158</v>
      </c>
      <c r="E735" s="49" t="s">
        <v>370</v>
      </c>
      <c r="F735" s="56" t="s">
        <v>192</v>
      </c>
      <c r="G735" s="62">
        <v>900</v>
      </c>
      <c r="W735" s="62">
        <v>900</v>
      </c>
      <c r="X735" s="62">
        <f>G735-W735</f>
        <v>0</v>
      </c>
    </row>
    <row r="736" spans="1:24" ht="18.75" customHeight="1">
      <c r="A736" s="273" t="s">
        <v>308</v>
      </c>
      <c r="B736" s="47"/>
      <c r="C736" s="48" t="s">
        <v>156</v>
      </c>
      <c r="D736" s="48" t="s">
        <v>158</v>
      </c>
      <c r="E736" s="49" t="s">
        <v>371</v>
      </c>
      <c r="F736" s="56"/>
      <c r="G736" s="62">
        <f>G737</f>
        <v>2600</v>
      </c>
      <c r="W736" s="62">
        <f>W737</f>
        <v>2600</v>
      </c>
      <c r="X736" s="62">
        <f>X737</f>
        <v>0</v>
      </c>
    </row>
    <row r="737" spans="1:24" ht="31.5">
      <c r="A737" s="163" t="s">
        <v>190</v>
      </c>
      <c r="B737" s="47"/>
      <c r="C737" s="48" t="s">
        <v>156</v>
      </c>
      <c r="D737" s="48" t="s">
        <v>158</v>
      </c>
      <c r="E737" s="49" t="s">
        <v>371</v>
      </c>
      <c r="F737" s="56" t="s">
        <v>178</v>
      </c>
      <c r="G737" s="62">
        <f>G738</f>
        <v>2600</v>
      </c>
      <c r="W737" s="62">
        <f>W738</f>
        <v>2600</v>
      </c>
      <c r="X737" s="62">
        <f>X738</f>
        <v>0</v>
      </c>
    </row>
    <row r="738" spans="1:24" ht="15.75">
      <c r="A738" s="253" t="s">
        <v>191</v>
      </c>
      <c r="B738" s="47"/>
      <c r="C738" s="48" t="s">
        <v>156</v>
      </c>
      <c r="D738" s="48" t="s">
        <v>158</v>
      </c>
      <c r="E738" s="49" t="s">
        <v>371</v>
      </c>
      <c r="F738" s="56" t="s">
        <v>192</v>
      </c>
      <c r="G738" s="62">
        <f>900+1700</f>
        <v>2600</v>
      </c>
      <c r="W738" s="62">
        <f>900+1700</f>
        <v>2600</v>
      </c>
      <c r="X738" s="62">
        <f>G738-W738</f>
        <v>0</v>
      </c>
    </row>
    <row r="739" spans="1:24" ht="47.25">
      <c r="A739" s="284" t="s">
        <v>553</v>
      </c>
      <c r="B739" s="47"/>
      <c r="C739" s="48" t="s">
        <v>156</v>
      </c>
      <c r="D739" s="48" t="s">
        <v>158</v>
      </c>
      <c r="E739" s="56" t="s">
        <v>419</v>
      </c>
      <c r="F739" s="56"/>
      <c r="G739" s="62">
        <f>G740</f>
        <v>50</v>
      </c>
      <c r="W739" s="62">
        <f>W740</f>
        <v>50</v>
      </c>
      <c r="X739" s="62">
        <f>X740</f>
        <v>0</v>
      </c>
    </row>
    <row r="740" spans="1:24" ht="31.5">
      <c r="A740" s="163" t="s">
        <v>190</v>
      </c>
      <c r="B740" s="47"/>
      <c r="C740" s="48" t="s">
        <v>156</v>
      </c>
      <c r="D740" s="48" t="s">
        <v>158</v>
      </c>
      <c r="E740" s="56" t="s">
        <v>419</v>
      </c>
      <c r="F740" s="56" t="s">
        <v>178</v>
      </c>
      <c r="G740" s="62">
        <f>G741</f>
        <v>50</v>
      </c>
      <c r="W740" s="62">
        <f>W741</f>
        <v>50</v>
      </c>
      <c r="X740" s="62">
        <f>X741</f>
        <v>0</v>
      </c>
    </row>
    <row r="741" spans="1:24" ht="15.75">
      <c r="A741" s="253" t="s">
        <v>191</v>
      </c>
      <c r="B741" s="47"/>
      <c r="C741" s="48" t="s">
        <v>156</v>
      </c>
      <c r="D741" s="48" t="s">
        <v>158</v>
      </c>
      <c r="E741" s="56" t="s">
        <v>419</v>
      </c>
      <c r="F741" s="56" t="s">
        <v>192</v>
      </c>
      <c r="G741" s="62">
        <v>50</v>
      </c>
      <c r="W741" s="62">
        <v>50</v>
      </c>
      <c r="X741" s="62">
        <f>G741-W741</f>
        <v>0</v>
      </c>
    </row>
    <row r="742" spans="1:24" ht="31.5">
      <c r="A742" s="284" t="s">
        <v>556</v>
      </c>
      <c r="B742" s="47"/>
      <c r="C742" s="48" t="s">
        <v>156</v>
      </c>
      <c r="D742" s="48" t="s">
        <v>158</v>
      </c>
      <c r="E742" s="56" t="s">
        <v>557</v>
      </c>
      <c r="F742" s="56"/>
      <c r="G742" s="62">
        <f>G743</f>
        <v>0</v>
      </c>
      <c r="W742" s="62">
        <f>W743</f>
        <v>300</v>
      </c>
      <c r="X742" s="62">
        <f>X743</f>
        <v>-300</v>
      </c>
    </row>
    <row r="743" spans="1:24" ht="31.5">
      <c r="A743" s="271" t="s">
        <v>190</v>
      </c>
      <c r="B743" s="47"/>
      <c r="C743" s="48" t="s">
        <v>156</v>
      </c>
      <c r="D743" s="48" t="s">
        <v>158</v>
      </c>
      <c r="E743" s="56" t="s">
        <v>557</v>
      </c>
      <c r="F743" s="56" t="s">
        <v>290</v>
      </c>
      <c r="G743" s="62">
        <f>G744</f>
        <v>0</v>
      </c>
      <c r="W743" s="62">
        <f>W744</f>
        <v>300</v>
      </c>
      <c r="X743" s="62">
        <f>X744</f>
        <v>-300</v>
      </c>
    </row>
    <row r="744" spans="1:24" ht="15.75">
      <c r="A744" s="271" t="s">
        <v>191</v>
      </c>
      <c r="B744" s="47"/>
      <c r="C744" s="48" t="s">
        <v>156</v>
      </c>
      <c r="D744" s="48" t="s">
        <v>158</v>
      </c>
      <c r="E744" s="56" t="s">
        <v>557</v>
      </c>
      <c r="F744" s="56" t="s">
        <v>192</v>
      </c>
      <c r="G744" s="62">
        <f>300-300</f>
        <v>0</v>
      </c>
      <c r="W744" s="62">
        <v>300</v>
      </c>
      <c r="X744" s="62">
        <f>G744-W744</f>
        <v>-300</v>
      </c>
    </row>
    <row r="745" spans="1:24" ht="31.5">
      <c r="A745" s="254" t="s">
        <v>524</v>
      </c>
      <c r="B745" s="111" t="s">
        <v>392</v>
      </c>
      <c r="C745" s="169"/>
      <c r="D745" s="169"/>
      <c r="E745" s="170"/>
      <c r="F745" s="169"/>
      <c r="G745" s="314">
        <f>G746+G759</f>
        <v>6136.432</v>
      </c>
      <c r="R745" s="333">
        <f>G749+G756+G762</f>
        <v>6136.432</v>
      </c>
      <c r="W745" s="314">
        <f>W746+W759</f>
        <v>6136.432</v>
      </c>
      <c r="X745" s="314">
        <f>X746+X759</f>
        <v>0</v>
      </c>
    </row>
    <row r="746" spans="1:24" ht="15.75">
      <c r="A746" s="234" t="s">
        <v>131</v>
      </c>
      <c r="B746" s="51"/>
      <c r="C746" s="45" t="s">
        <v>157</v>
      </c>
      <c r="D746" s="48"/>
      <c r="E746" s="49" t="s">
        <v>175</v>
      </c>
      <c r="F746" s="48"/>
      <c r="G746" s="58">
        <f>G747+G754</f>
        <v>6081.25</v>
      </c>
      <c r="W746" s="58">
        <f>W747+W754</f>
        <v>6081.25</v>
      </c>
      <c r="X746" s="58">
        <f>X747+X754</f>
        <v>0</v>
      </c>
    </row>
    <row r="747" spans="1:24" ht="15.75" customHeight="1">
      <c r="A747" s="242" t="s">
        <v>205</v>
      </c>
      <c r="B747" s="66"/>
      <c r="C747" s="45" t="s">
        <v>157</v>
      </c>
      <c r="D747" s="45" t="s">
        <v>170</v>
      </c>
      <c r="E747" s="52" t="s">
        <v>175</v>
      </c>
      <c r="F747" s="67"/>
      <c r="G747" s="68">
        <f>G749</f>
        <v>5981.25</v>
      </c>
      <c r="W747" s="68">
        <f>W749</f>
        <v>5981.25</v>
      </c>
      <c r="X747" s="68">
        <f>X749</f>
        <v>0</v>
      </c>
    </row>
    <row r="748" spans="1:24" ht="30.75" customHeight="1">
      <c r="A748" s="285" t="s">
        <v>440</v>
      </c>
      <c r="B748" s="51"/>
      <c r="C748" s="45" t="s">
        <v>157</v>
      </c>
      <c r="D748" s="45" t="s">
        <v>170</v>
      </c>
      <c r="E748" s="52" t="s">
        <v>345</v>
      </c>
      <c r="F748" s="56"/>
      <c r="G748" s="58">
        <f>G749</f>
        <v>5981.25</v>
      </c>
      <c r="W748" s="58">
        <f>W749</f>
        <v>5981.25</v>
      </c>
      <c r="X748" s="58">
        <f>X749</f>
        <v>0</v>
      </c>
    </row>
    <row r="749" spans="1:24" ht="31.5">
      <c r="A749" s="237" t="s">
        <v>121</v>
      </c>
      <c r="B749" s="51"/>
      <c r="C749" s="48" t="s">
        <v>157</v>
      </c>
      <c r="D749" s="48" t="s">
        <v>170</v>
      </c>
      <c r="E749" s="49" t="s">
        <v>396</v>
      </c>
      <c r="F749" s="56"/>
      <c r="G749" s="62">
        <f>G750+G752</f>
        <v>5981.25</v>
      </c>
      <c r="W749" s="62">
        <f>W750+W752</f>
        <v>5981.25</v>
      </c>
      <c r="X749" s="62">
        <f>X750+X752</f>
        <v>0</v>
      </c>
    </row>
    <row r="750" spans="1:24" ht="47.25">
      <c r="A750" s="237" t="s">
        <v>116</v>
      </c>
      <c r="B750" s="51"/>
      <c r="C750" s="48" t="s">
        <v>157</v>
      </c>
      <c r="D750" s="48" t="s">
        <v>170</v>
      </c>
      <c r="E750" s="49" t="s">
        <v>396</v>
      </c>
      <c r="F750" s="56" t="s">
        <v>198</v>
      </c>
      <c r="G750" s="62">
        <f>G751</f>
        <v>5596.25</v>
      </c>
      <c r="W750" s="62">
        <f>W751</f>
        <v>5596.25</v>
      </c>
      <c r="X750" s="62">
        <f>X751</f>
        <v>0</v>
      </c>
    </row>
    <row r="751" spans="1:24" ht="15.75">
      <c r="A751" s="237" t="s">
        <v>193</v>
      </c>
      <c r="B751" s="55"/>
      <c r="C751" s="48" t="s">
        <v>157</v>
      </c>
      <c r="D751" s="48" t="s">
        <v>170</v>
      </c>
      <c r="E751" s="49" t="s">
        <v>396</v>
      </c>
      <c r="F751" s="56" t="s">
        <v>194</v>
      </c>
      <c r="G751" s="62">
        <f>4403.25+1193</f>
        <v>5596.25</v>
      </c>
      <c r="W751" s="62">
        <f>4403.25+1193</f>
        <v>5596.25</v>
      </c>
      <c r="X751" s="62">
        <f>G751-W751</f>
        <v>0</v>
      </c>
    </row>
    <row r="752" spans="1:24" ht="15.75">
      <c r="A752" s="237" t="s">
        <v>226</v>
      </c>
      <c r="B752" s="55"/>
      <c r="C752" s="48" t="s">
        <v>157</v>
      </c>
      <c r="D752" s="48" t="s">
        <v>170</v>
      </c>
      <c r="E752" s="49" t="s">
        <v>396</v>
      </c>
      <c r="F752" s="56" t="s">
        <v>188</v>
      </c>
      <c r="G752" s="62">
        <f>G753</f>
        <v>385</v>
      </c>
      <c r="W752" s="62">
        <f>W753</f>
        <v>385</v>
      </c>
      <c r="X752" s="62">
        <f>X753</f>
        <v>0</v>
      </c>
    </row>
    <row r="753" spans="1:24" ht="15.75">
      <c r="A753" s="237" t="s">
        <v>189</v>
      </c>
      <c r="B753" s="55"/>
      <c r="C753" s="48" t="s">
        <v>157</v>
      </c>
      <c r="D753" s="48" t="s">
        <v>170</v>
      </c>
      <c r="E753" s="49" t="s">
        <v>396</v>
      </c>
      <c r="F753" s="56" t="s">
        <v>187</v>
      </c>
      <c r="G753" s="62">
        <v>385</v>
      </c>
      <c r="W753" s="62">
        <v>385</v>
      </c>
      <c r="X753" s="62">
        <f>G753-W753</f>
        <v>0</v>
      </c>
    </row>
    <row r="754" spans="1:24" ht="15.75">
      <c r="A754" s="242" t="s">
        <v>142</v>
      </c>
      <c r="B754" s="92"/>
      <c r="C754" s="93" t="s">
        <v>157</v>
      </c>
      <c r="D754" s="93" t="s">
        <v>123</v>
      </c>
      <c r="E754" s="52"/>
      <c r="F754" s="94"/>
      <c r="G754" s="58">
        <f>G755</f>
        <v>100</v>
      </c>
      <c r="W754" s="58">
        <f aca="true" t="shared" si="44" ref="W754:X757">W755</f>
        <v>100</v>
      </c>
      <c r="X754" s="58">
        <f t="shared" si="44"/>
        <v>0</v>
      </c>
    </row>
    <row r="755" spans="1:24" ht="30.75" customHeight="1">
      <c r="A755" s="285" t="s">
        <v>440</v>
      </c>
      <c r="B755" s="92"/>
      <c r="C755" s="93" t="s">
        <v>157</v>
      </c>
      <c r="D755" s="93" t="s">
        <v>123</v>
      </c>
      <c r="E755" s="52" t="s">
        <v>345</v>
      </c>
      <c r="F755" s="94"/>
      <c r="G755" s="58">
        <f>G756</f>
        <v>100</v>
      </c>
      <c r="W755" s="58">
        <f t="shared" si="44"/>
        <v>100</v>
      </c>
      <c r="X755" s="58">
        <f t="shared" si="44"/>
        <v>0</v>
      </c>
    </row>
    <row r="756" spans="1:24" ht="15.75">
      <c r="A756" s="238" t="s">
        <v>94</v>
      </c>
      <c r="B756" s="55"/>
      <c r="C756" s="80" t="s">
        <v>157</v>
      </c>
      <c r="D756" s="80" t="s">
        <v>123</v>
      </c>
      <c r="E756" s="81" t="s">
        <v>346</v>
      </c>
      <c r="F756" s="76"/>
      <c r="G756" s="62">
        <f>G757</f>
        <v>100</v>
      </c>
      <c r="W756" s="62">
        <f t="shared" si="44"/>
        <v>100</v>
      </c>
      <c r="X756" s="62">
        <f t="shared" si="44"/>
        <v>0</v>
      </c>
    </row>
    <row r="757" spans="1:24" s="16" customFormat="1" ht="15.75">
      <c r="A757" s="237" t="s">
        <v>226</v>
      </c>
      <c r="B757" s="47"/>
      <c r="C757" s="80" t="s">
        <v>157</v>
      </c>
      <c r="D757" s="80" t="s">
        <v>123</v>
      </c>
      <c r="E757" s="81" t="s">
        <v>346</v>
      </c>
      <c r="F757" s="76" t="s">
        <v>188</v>
      </c>
      <c r="G757" s="62">
        <f>G758</f>
        <v>100</v>
      </c>
      <c r="H757" s="293"/>
      <c r="I757" s="293"/>
      <c r="J757" s="293"/>
      <c r="K757" s="293"/>
      <c r="L757" s="293"/>
      <c r="M757" s="293"/>
      <c r="N757" s="293"/>
      <c r="O757" s="293"/>
      <c r="P757" s="293"/>
      <c r="Q757" s="222"/>
      <c r="R757" s="293"/>
      <c r="S757" s="293"/>
      <c r="T757" s="293"/>
      <c r="U757" s="293"/>
      <c r="V757" s="293"/>
      <c r="W757" s="62">
        <f t="shared" si="44"/>
        <v>100</v>
      </c>
      <c r="X757" s="62">
        <f t="shared" si="44"/>
        <v>0</v>
      </c>
    </row>
    <row r="758" spans="1:24" ht="15.75">
      <c r="A758" s="237" t="s">
        <v>189</v>
      </c>
      <c r="B758" s="55"/>
      <c r="C758" s="80" t="s">
        <v>157</v>
      </c>
      <c r="D758" s="80" t="s">
        <v>123</v>
      </c>
      <c r="E758" s="81" t="s">
        <v>346</v>
      </c>
      <c r="F758" s="76" t="s">
        <v>187</v>
      </c>
      <c r="G758" s="62">
        <v>100</v>
      </c>
      <c r="W758" s="62">
        <v>100</v>
      </c>
      <c r="X758" s="62">
        <f>G758-W758</f>
        <v>0</v>
      </c>
    </row>
    <row r="759" spans="1:24" ht="15.75">
      <c r="A759" s="234" t="s">
        <v>155</v>
      </c>
      <c r="B759" s="51"/>
      <c r="C759" s="45" t="s">
        <v>127</v>
      </c>
      <c r="D759" s="48"/>
      <c r="E759" s="49" t="s">
        <v>175</v>
      </c>
      <c r="F759" s="48"/>
      <c r="G759" s="58">
        <f>G760</f>
        <v>55.182</v>
      </c>
      <c r="W759" s="58">
        <f aca="true" t="shared" si="45" ref="W759:X763">W760</f>
        <v>55.182</v>
      </c>
      <c r="X759" s="58">
        <f t="shared" si="45"/>
        <v>0</v>
      </c>
    </row>
    <row r="760" spans="1:24" ht="15.75" customHeight="1">
      <c r="A760" s="242" t="s">
        <v>331</v>
      </c>
      <c r="B760" s="66"/>
      <c r="C760" s="45" t="s">
        <v>127</v>
      </c>
      <c r="D760" s="45" t="s">
        <v>130</v>
      </c>
      <c r="E760" s="52" t="s">
        <v>175</v>
      </c>
      <c r="F760" s="67"/>
      <c r="G760" s="68">
        <f>G761</f>
        <v>55.182</v>
      </c>
      <c r="W760" s="68">
        <f t="shared" si="45"/>
        <v>55.182</v>
      </c>
      <c r="X760" s="68">
        <f t="shared" si="45"/>
        <v>0</v>
      </c>
    </row>
    <row r="761" spans="1:24" ht="30" customHeight="1">
      <c r="A761" s="242" t="s">
        <v>440</v>
      </c>
      <c r="B761" s="66"/>
      <c r="C761" s="45" t="s">
        <v>127</v>
      </c>
      <c r="D761" s="45" t="s">
        <v>130</v>
      </c>
      <c r="E761" s="52" t="s">
        <v>345</v>
      </c>
      <c r="F761" s="67"/>
      <c r="G761" s="68">
        <f>G762</f>
        <v>55.182</v>
      </c>
      <c r="W761" s="68">
        <f t="shared" si="45"/>
        <v>55.182</v>
      </c>
      <c r="X761" s="68">
        <f t="shared" si="45"/>
        <v>0</v>
      </c>
    </row>
    <row r="762" spans="1:24" ht="18.75" customHeight="1">
      <c r="A762" s="238" t="s">
        <v>334</v>
      </c>
      <c r="B762" s="66"/>
      <c r="C762" s="48" t="s">
        <v>127</v>
      </c>
      <c r="D762" s="48" t="s">
        <v>130</v>
      </c>
      <c r="E762" s="49" t="s">
        <v>333</v>
      </c>
      <c r="F762" s="69"/>
      <c r="G762" s="70">
        <f>G763</f>
        <v>55.182</v>
      </c>
      <c r="W762" s="70">
        <f t="shared" si="45"/>
        <v>55.182</v>
      </c>
      <c r="X762" s="70">
        <f t="shared" si="45"/>
        <v>0</v>
      </c>
    </row>
    <row r="763" spans="1:24" ht="15.75">
      <c r="A763" s="163" t="s">
        <v>89</v>
      </c>
      <c r="B763" s="66"/>
      <c r="C763" s="48" t="s">
        <v>127</v>
      </c>
      <c r="D763" s="48" t="s">
        <v>130</v>
      </c>
      <c r="E763" s="49" t="s">
        <v>333</v>
      </c>
      <c r="F763" s="56" t="s">
        <v>85</v>
      </c>
      <c r="G763" s="70">
        <f>G764</f>
        <v>55.182</v>
      </c>
      <c r="W763" s="70">
        <f t="shared" si="45"/>
        <v>55.182</v>
      </c>
      <c r="X763" s="70">
        <f t="shared" si="45"/>
        <v>0</v>
      </c>
    </row>
    <row r="764" spans="1:24" ht="15.75">
      <c r="A764" s="238" t="s">
        <v>84</v>
      </c>
      <c r="B764" s="66"/>
      <c r="C764" s="48" t="s">
        <v>127</v>
      </c>
      <c r="D764" s="48" t="s">
        <v>130</v>
      </c>
      <c r="E764" s="49" t="s">
        <v>333</v>
      </c>
      <c r="F764" s="56" t="s">
        <v>86</v>
      </c>
      <c r="G764" s="62">
        <v>55.182</v>
      </c>
      <c r="W764" s="62">
        <v>55.182</v>
      </c>
      <c r="X764" s="62">
        <f>G764-W764</f>
        <v>0</v>
      </c>
    </row>
    <row r="765" spans="1:24" ht="31.5">
      <c r="A765" s="254" t="s">
        <v>525</v>
      </c>
      <c r="B765" s="111" t="s">
        <v>184</v>
      </c>
      <c r="C765" s="169"/>
      <c r="D765" s="169"/>
      <c r="E765" s="170"/>
      <c r="F765" s="169"/>
      <c r="G765" s="314">
        <f>G766+G786+G792+G808</f>
        <v>50342.77399999999</v>
      </c>
      <c r="R765" s="333" t="e">
        <f>G769+G774+G780+G783+G789+G795+G798+G802+G805+#REF!+G811</f>
        <v>#REF!</v>
      </c>
      <c r="S765" s="333" t="e">
        <f>R765-G765</f>
        <v>#REF!</v>
      </c>
      <c r="W765" s="314">
        <f>W766+W786+W792+W808</f>
        <v>50342.77399999999</v>
      </c>
      <c r="X765" s="314">
        <f>X766+X786+X792+X808</f>
        <v>0</v>
      </c>
    </row>
    <row r="766" spans="1:24" ht="15.75">
      <c r="A766" s="234" t="s">
        <v>131</v>
      </c>
      <c r="B766" s="51"/>
      <c r="C766" s="45" t="s">
        <v>157</v>
      </c>
      <c r="D766" s="48"/>
      <c r="E766" s="49" t="s">
        <v>175</v>
      </c>
      <c r="F766" s="48"/>
      <c r="G766" s="58">
        <f>G767</f>
        <v>21518.199999999997</v>
      </c>
      <c r="W766" s="58">
        <f>W767</f>
        <v>21518.199999999997</v>
      </c>
      <c r="X766" s="58">
        <f>X767</f>
        <v>0</v>
      </c>
    </row>
    <row r="767" spans="1:24" ht="18" customHeight="1">
      <c r="A767" s="242" t="s">
        <v>142</v>
      </c>
      <c r="B767" s="66"/>
      <c r="C767" s="45" t="s">
        <v>157</v>
      </c>
      <c r="D767" s="45" t="s">
        <v>123</v>
      </c>
      <c r="E767" s="52" t="s">
        <v>175</v>
      </c>
      <c r="F767" s="67"/>
      <c r="G767" s="68">
        <f>G768</f>
        <v>21518.199999999997</v>
      </c>
      <c r="W767" s="68">
        <f>W768</f>
        <v>21518.199999999997</v>
      </c>
      <c r="X767" s="68">
        <f>X768</f>
        <v>0</v>
      </c>
    </row>
    <row r="768" spans="1:24" ht="18" customHeight="1">
      <c r="A768" s="242" t="s">
        <v>439</v>
      </c>
      <c r="B768" s="66"/>
      <c r="C768" s="45" t="s">
        <v>157</v>
      </c>
      <c r="D768" s="45" t="s">
        <v>123</v>
      </c>
      <c r="E768" s="52" t="s">
        <v>19</v>
      </c>
      <c r="F768" s="67"/>
      <c r="G768" s="68">
        <f>G769+G780+G774+G783</f>
        <v>21518.199999999997</v>
      </c>
      <c r="W768" s="68">
        <f>W769+W780+W774+W783</f>
        <v>21518.199999999997</v>
      </c>
      <c r="X768" s="68">
        <f>X769+X780+X774+X783</f>
        <v>0</v>
      </c>
    </row>
    <row r="769" spans="1:24" ht="18.75" customHeight="1">
      <c r="A769" s="238" t="s">
        <v>115</v>
      </c>
      <c r="B769" s="66"/>
      <c r="C769" s="48" t="s">
        <v>157</v>
      </c>
      <c r="D769" s="48" t="s">
        <v>123</v>
      </c>
      <c r="E769" s="49" t="s">
        <v>70</v>
      </c>
      <c r="F769" s="69"/>
      <c r="G769" s="70">
        <f>G770+G772</f>
        <v>14603.4</v>
      </c>
      <c r="W769" s="70">
        <f>W770+W772</f>
        <v>14603.4</v>
      </c>
      <c r="X769" s="70">
        <f>X770+X772</f>
        <v>0</v>
      </c>
    </row>
    <row r="770" spans="1:24" ht="47.25">
      <c r="A770" s="237" t="s">
        <v>116</v>
      </c>
      <c r="B770" s="66"/>
      <c r="C770" s="48" t="s">
        <v>157</v>
      </c>
      <c r="D770" s="48" t="s">
        <v>123</v>
      </c>
      <c r="E770" s="49" t="s">
        <v>70</v>
      </c>
      <c r="F770" s="56" t="s">
        <v>198</v>
      </c>
      <c r="G770" s="70">
        <f>G771</f>
        <v>13901.1</v>
      </c>
      <c r="W770" s="70">
        <f>W771</f>
        <v>13901.1</v>
      </c>
      <c r="X770" s="70">
        <f>X771</f>
        <v>0</v>
      </c>
    </row>
    <row r="771" spans="1:24" ht="15.75">
      <c r="A771" s="272" t="s">
        <v>193</v>
      </c>
      <c r="B771" s="66"/>
      <c r="C771" s="48" t="s">
        <v>157</v>
      </c>
      <c r="D771" s="48" t="s">
        <v>123</v>
      </c>
      <c r="E771" s="49" t="s">
        <v>70</v>
      </c>
      <c r="F771" s="56" t="s">
        <v>194</v>
      </c>
      <c r="G771" s="62">
        <f>12227+1674.1</f>
        <v>13901.1</v>
      </c>
      <c r="W771" s="62">
        <f>12227+1674.1</f>
        <v>13901.1</v>
      </c>
      <c r="X771" s="62">
        <f>G771-W771</f>
        <v>0</v>
      </c>
    </row>
    <row r="772" spans="1:24" ht="15.75">
      <c r="A772" s="237" t="s">
        <v>226</v>
      </c>
      <c r="B772" s="55"/>
      <c r="C772" s="48" t="s">
        <v>157</v>
      </c>
      <c r="D772" s="48" t="s">
        <v>123</v>
      </c>
      <c r="E772" s="49" t="s">
        <v>70</v>
      </c>
      <c r="F772" s="56" t="s">
        <v>188</v>
      </c>
      <c r="G772" s="62">
        <f>G773</f>
        <v>702.3</v>
      </c>
      <c r="W772" s="62">
        <f>W773</f>
        <v>702.3</v>
      </c>
      <c r="X772" s="62">
        <f>X773</f>
        <v>0</v>
      </c>
    </row>
    <row r="773" spans="1:24" ht="15.75">
      <c r="A773" s="282" t="s">
        <v>189</v>
      </c>
      <c r="B773" s="55"/>
      <c r="C773" s="48" t="s">
        <v>157</v>
      </c>
      <c r="D773" s="48" t="s">
        <v>123</v>
      </c>
      <c r="E773" s="49" t="s">
        <v>70</v>
      </c>
      <c r="F773" s="56" t="s">
        <v>187</v>
      </c>
      <c r="G773" s="62">
        <v>702.3</v>
      </c>
      <c r="W773" s="62">
        <v>702.3</v>
      </c>
      <c r="X773" s="62">
        <f>G773-W773</f>
        <v>0</v>
      </c>
    </row>
    <row r="774" spans="1:24" ht="20.25" customHeight="1">
      <c r="A774" s="238" t="s">
        <v>92</v>
      </c>
      <c r="B774" s="66"/>
      <c r="C774" s="48" t="s">
        <v>157</v>
      </c>
      <c r="D774" s="48" t="s">
        <v>123</v>
      </c>
      <c r="E774" s="49" t="s">
        <v>219</v>
      </c>
      <c r="F774" s="69"/>
      <c r="G774" s="70">
        <f>G775+G777</f>
        <v>2841.2</v>
      </c>
      <c r="W774" s="70">
        <f>W775+W777</f>
        <v>2841.2</v>
      </c>
      <c r="X774" s="70">
        <f>X775+X777</f>
        <v>0</v>
      </c>
    </row>
    <row r="775" spans="1:24" ht="15.75">
      <c r="A775" s="237" t="s">
        <v>226</v>
      </c>
      <c r="B775" s="55"/>
      <c r="C775" s="48" t="s">
        <v>157</v>
      </c>
      <c r="D775" s="48" t="s">
        <v>123</v>
      </c>
      <c r="E775" s="49" t="s">
        <v>219</v>
      </c>
      <c r="F775" s="56" t="s">
        <v>188</v>
      </c>
      <c r="G775" s="62">
        <f>G776</f>
        <v>2819.2</v>
      </c>
      <c r="W775" s="62">
        <f>W776</f>
        <v>2819.2</v>
      </c>
      <c r="X775" s="62">
        <f>X776</f>
        <v>0</v>
      </c>
    </row>
    <row r="776" spans="1:24" ht="15.75">
      <c r="A776" s="282" t="s">
        <v>189</v>
      </c>
      <c r="B776" s="55"/>
      <c r="C776" s="48" t="s">
        <v>157</v>
      </c>
      <c r="D776" s="157" t="s">
        <v>123</v>
      </c>
      <c r="E776" s="158" t="s">
        <v>219</v>
      </c>
      <c r="F776" s="159" t="s">
        <v>187</v>
      </c>
      <c r="G776" s="160">
        <f>2821.2-2</f>
        <v>2819.2</v>
      </c>
      <c r="W776" s="160">
        <f>2821.2-2</f>
        <v>2819.2</v>
      </c>
      <c r="X776" s="62">
        <f>G776-W776</f>
        <v>0</v>
      </c>
    </row>
    <row r="777" spans="1:24" ht="15.75">
      <c r="A777" s="237" t="s">
        <v>90</v>
      </c>
      <c r="B777" s="55"/>
      <c r="C777" s="48" t="s">
        <v>157</v>
      </c>
      <c r="D777" s="48" t="s">
        <v>123</v>
      </c>
      <c r="E777" s="49" t="s">
        <v>219</v>
      </c>
      <c r="F777" s="56" t="s">
        <v>87</v>
      </c>
      <c r="G777" s="62">
        <f>G779+G778</f>
        <v>22</v>
      </c>
      <c r="W777" s="62">
        <f>W779+W778</f>
        <v>22</v>
      </c>
      <c r="X777" s="62">
        <f>X779+X778</f>
        <v>0</v>
      </c>
    </row>
    <row r="778" spans="1:24" ht="15.75">
      <c r="A778" s="237" t="s">
        <v>288</v>
      </c>
      <c r="B778" s="55"/>
      <c r="C778" s="48" t="s">
        <v>157</v>
      </c>
      <c r="D778" s="157" t="s">
        <v>123</v>
      </c>
      <c r="E778" s="49" t="s">
        <v>219</v>
      </c>
      <c r="F778" s="364" t="s">
        <v>598</v>
      </c>
      <c r="G778" s="160">
        <v>2</v>
      </c>
      <c r="W778" s="160">
        <v>2</v>
      </c>
      <c r="X778" s="62">
        <f>G778-W778</f>
        <v>0</v>
      </c>
    </row>
    <row r="779" spans="1:24" ht="15.75">
      <c r="A779" s="237" t="s">
        <v>209</v>
      </c>
      <c r="B779" s="55"/>
      <c r="C779" s="48" t="s">
        <v>157</v>
      </c>
      <c r="D779" s="157" t="s">
        <v>123</v>
      </c>
      <c r="E779" s="158" t="s">
        <v>219</v>
      </c>
      <c r="F779" s="159" t="s">
        <v>210</v>
      </c>
      <c r="G779" s="160">
        <v>20</v>
      </c>
      <c r="W779" s="160">
        <v>20</v>
      </c>
      <c r="X779" s="62">
        <f>G779-W779</f>
        <v>0</v>
      </c>
    </row>
    <row r="780" spans="1:24" ht="15.75">
      <c r="A780" s="238" t="s">
        <v>109</v>
      </c>
      <c r="B780" s="66"/>
      <c r="C780" s="48" t="s">
        <v>157</v>
      </c>
      <c r="D780" s="48" t="s">
        <v>123</v>
      </c>
      <c r="E780" s="156" t="s">
        <v>20</v>
      </c>
      <c r="F780" s="69"/>
      <c r="G780" s="70">
        <f>G781</f>
        <v>526</v>
      </c>
      <c r="W780" s="70">
        <f>W781</f>
        <v>526</v>
      </c>
      <c r="X780" s="70">
        <f>X781</f>
        <v>0</v>
      </c>
    </row>
    <row r="781" spans="1:24" ht="15.75">
      <c r="A781" s="237" t="s">
        <v>226</v>
      </c>
      <c r="B781" s="55"/>
      <c r="C781" s="48" t="s">
        <v>157</v>
      </c>
      <c r="D781" s="48" t="s">
        <v>123</v>
      </c>
      <c r="E781" s="49" t="s">
        <v>20</v>
      </c>
      <c r="F781" s="56" t="s">
        <v>188</v>
      </c>
      <c r="G781" s="62">
        <f>G782</f>
        <v>526</v>
      </c>
      <c r="W781" s="62">
        <f>W782</f>
        <v>526</v>
      </c>
      <c r="X781" s="62">
        <f>X782</f>
        <v>0</v>
      </c>
    </row>
    <row r="782" spans="1:24" ht="16.5" customHeight="1">
      <c r="A782" s="282" t="s">
        <v>189</v>
      </c>
      <c r="B782" s="55"/>
      <c r="C782" s="48" t="s">
        <v>157</v>
      </c>
      <c r="D782" s="48" t="s">
        <v>123</v>
      </c>
      <c r="E782" s="49" t="s">
        <v>20</v>
      </c>
      <c r="F782" s="56" t="s">
        <v>187</v>
      </c>
      <c r="G782" s="62">
        <v>526</v>
      </c>
      <c r="W782" s="62">
        <v>526</v>
      </c>
      <c r="X782" s="62">
        <f>G782-W782</f>
        <v>0</v>
      </c>
    </row>
    <row r="783" spans="1:24" ht="15.75">
      <c r="A783" s="238" t="s">
        <v>403</v>
      </c>
      <c r="B783" s="66"/>
      <c r="C783" s="48" t="s">
        <v>157</v>
      </c>
      <c r="D783" s="48" t="s">
        <v>123</v>
      </c>
      <c r="E783" s="156" t="s">
        <v>644</v>
      </c>
      <c r="F783" s="69"/>
      <c r="G783" s="70">
        <f>G784</f>
        <v>3547.6000000000004</v>
      </c>
      <c r="W783" s="70">
        <f>W784</f>
        <v>3547.6000000000004</v>
      </c>
      <c r="X783" s="70">
        <f>X784</f>
        <v>0</v>
      </c>
    </row>
    <row r="784" spans="1:24" ht="15.75">
      <c r="A784" s="237" t="s">
        <v>226</v>
      </c>
      <c r="B784" s="55"/>
      <c r="C784" s="48" t="s">
        <v>157</v>
      </c>
      <c r="D784" s="48" t="s">
        <v>123</v>
      </c>
      <c r="E784" s="156" t="s">
        <v>644</v>
      </c>
      <c r="F784" s="56" t="s">
        <v>188</v>
      </c>
      <c r="G784" s="62">
        <f>G785</f>
        <v>3547.6000000000004</v>
      </c>
      <c r="W784" s="62">
        <f>W785</f>
        <v>3547.6000000000004</v>
      </c>
      <c r="X784" s="62">
        <f>X785</f>
        <v>0</v>
      </c>
    </row>
    <row r="785" spans="1:24" ht="16.5" customHeight="1">
      <c r="A785" s="282" t="s">
        <v>189</v>
      </c>
      <c r="B785" s="55"/>
      <c r="C785" s="48" t="s">
        <v>157</v>
      </c>
      <c r="D785" s="48" t="s">
        <v>123</v>
      </c>
      <c r="E785" s="156" t="s">
        <v>644</v>
      </c>
      <c r="F785" s="56" t="s">
        <v>187</v>
      </c>
      <c r="G785" s="62">
        <f>319.3+3228.3</f>
        <v>3547.6000000000004</v>
      </c>
      <c r="W785" s="62">
        <f>319.3+3228.3</f>
        <v>3547.6000000000004</v>
      </c>
      <c r="X785" s="62">
        <f>G785-W785</f>
        <v>0</v>
      </c>
    </row>
    <row r="786" spans="1:24" s="307" customFormat="1" ht="15.75">
      <c r="A786" s="234" t="s">
        <v>169</v>
      </c>
      <c r="B786" s="47"/>
      <c r="C786" s="45" t="s">
        <v>170</v>
      </c>
      <c r="D786" s="48"/>
      <c r="E786" s="49"/>
      <c r="F786" s="56"/>
      <c r="G786" s="58">
        <f>G787</f>
        <v>1264</v>
      </c>
      <c r="H786" s="336"/>
      <c r="I786" s="336"/>
      <c r="J786" s="336"/>
      <c r="K786" s="336"/>
      <c r="L786" s="336"/>
      <c r="M786" s="336"/>
      <c r="N786" s="336"/>
      <c r="O786" s="336"/>
      <c r="P786" s="336"/>
      <c r="Q786" s="337"/>
      <c r="R786" s="336"/>
      <c r="S786" s="336"/>
      <c r="T786" s="336"/>
      <c r="U786" s="336"/>
      <c r="V786" s="336"/>
      <c r="W786" s="58">
        <f>W787</f>
        <v>1264</v>
      </c>
      <c r="X786" s="58">
        <f>X787</f>
        <v>0</v>
      </c>
    </row>
    <row r="787" spans="1:24" s="307" customFormat="1" ht="15.75">
      <c r="A787" s="242" t="s">
        <v>136</v>
      </c>
      <c r="B787" s="51"/>
      <c r="C787" s="45" t="s">
        <v>170</v>
      </c>
      <c r="D787" s="45" t="s">
        <v>164</v>
      </c>
      <c r="E787" s="49"/>
      <c r="F787" s="69"/>
      <c r="G787" s="58">
        <f>G788</f>
        <v>1264</v>
      </c>
      <c r="H787" s="336"/>
      <c r="I787" s="336"/>
      <c r="J787" s="336"/>
      <c r="K787" s="336"/>
      <c r="L787" s="336"/>
      <c r="M787" s="336"/>
      <c r="N787" s="336"/>
      <c r="O787" s="336"/>
      <c r="P787" s="336"/>
      <c r="Q787" s="337"/>
      <c r="R787" s="336"/>
      <c r="S787" s="336"/>
      <c r="T787" s="336"/>
      <c r="U787" s="336"/>
      <c r="V787" s="336"/>
      <c r="W787" s="58">
        <f>W788</f>
        <v>1264</v>
      </c>
      <c r="X787" s="58">
        <f>X788</f>
        <v>0</v>
      </c>
    </row>
    <row r="788" spans="1:24" s="307" customFormat="1" ht="31.5">
      <c r="A788" s="242" t="s">
        <v>439</v>
      </c>
      <c r="B788" s="66"/>
      <c r="C788" s="45" t="s">
        <v>170</v>
      </c>
      <c r="D788" s="45" t="s">
        <v>164</v>
      </c>
      <c r="E788" s="52" t="s">
        <v>19</v>
      </c>
      <c r="F788" s="67"/>
      <c r="G788" s="68">
        <f>G791</f>
        <v>1264</v>
      </c>
      <c r="H788" s="336"/>
      <c r="I788" s="336"/>
      <c r="J788" s="336"/>
      <c r="K788" s="336"/>
      <c r="L788" s="336"/>
      <c r="M788" s="336"/>
      <c r="N788" s="336"/>
      <c r="O788" s="336"/>
      <c r="P788" s="336"/>
      <c r="Q788" s="337"/>
      <c r="R788" s="336"/>
      <c r="S788" s="336"/>
      <c r="T788" s="336"/>
      <c r="U788" s="336"/>
      <c r="V788" s="336"/>
      <c r="W788" s="68">
        <f>W791</f>
        <v>1264</v>
      </c>
      <c r="X788" s="68">
        <f>X791</f>
        <v>0</v>
      </c>
    </row>
    <row r="789" spans="1:24" s="307" customFormat="1" ht="15.75">
      <c r="A789" s="238" t="s">
        <v>110</v>
      </c>
      <c r="B789" s="47"/>
      <c r="C789" s="48" t="s">
        <v>170</v>
      </c>
      <c r="D789" s="48" t="s">
        <v>164</v>
      </c>
      <c r="E789" s="49" t="s">
        <v>21</v>
      </c>
      <c r="F789" s="56"/>
      <c r="G789" s="62">
        <f>G790</f>
        <v>1264</v>
      </c>
      <c r="H789" s="336"/>
      <c r="I789" s="336"/>
      <c r="J789" s="336"/>
      <c r="K789" s="336"/>
      <c r="L789" s="336"/>
      <c r="M789" s="336"/>
      <c r="N789" s="336"/>
      <c r="O789" s="336"/>
      <c r="P789" s="336"/>
      <c r="Q789" s="337"/>
      <c r="R789" s="336"/>
      <c r="S789" s="336"/>
      <c r="T789" s="336"/>
      <c r="U789" s="336"/>
      <c r="V789" s="336"/>
      <c r="W789" s="62">
        <f>W790</f>
        <v>1264</v>
      </c>
      <c r="X789" s="62">
        <f>X790</f>
        <v>0</v>
      </c>
    </row>
    <row r="790" spans="1:24" s="307" customFormat="1" ht="15.75">
      <c r="A790" s="237" t="s">
        <v>226</v>
      </c>
      <c r="B790" s="55"/>
      <c r="C790" s="48" t="s">
        <v>170</v>
      </c>
      <c r="D790" s="48" t="s">
        <v>164</v>
      </c>
      <c r="E790" s="49" t="s">
        <v>21</v>
      </c>
      <c r="F790" s="56" t="s">
        <v>188</v>
      </c>
      <c r="G790" s="62">
        <f>G791</f>
        <v>1264</v>
      </c>
      <c r="H790" s="336"/>
      <c r="I790" s="336"/>
      <c r="J790" s="336"/>
      <c r="K790" s="336"/>
      <c r="L790" s="336"/>
      <c r="M790" s="336"/>
      <c r="N790" s="336"/>
      <c r="O790" s="336"/>
      <c r="P790" s="336"/>
      <c r="Q790" s="337"/>
      <c r="R790" s="336"/>
      <c r="S790" s="336"/>
      <c r="T790" s="336"/>
      <c r="U790" s="336"/>
      <c r="V790" s="336"/>
      <c r="W790" s="62">
        <f>W791</f>
        <v>1264</v>
      </c>
      <c r="X790" s="62">
        <f>X791</f>
        <v>0</v>
      </c>
    </row>
    <row r="791" spans="1:24" ht="15.75">
      <c r="A791" s="282" t="s">
        <v>189</v>
      </c>
      <c r="B791" s="55"/>
      <c r="C791" s="48" t="s">
        <v>170</v>
      </c>
      <c r="D791" s="48" t="s">
        <v>164</v>
      </c>
      <c r="E791" s="49" t="s">
        <v>21</v>
      </c>
      <c r="F791" s="56" t="s">
        <v>187</v>
      </c>
      <c r="G791" s="62">
        <f>896+368</f>
        <v>1264</v>
      </c>
      <c r="W791" s="62">
        <f>896+368</f>
        <v>1264</v>
      </c>
      <c r="X791" s="62">
        <f>G791-W791</f>
        <v>0</v>
      </c>
    </row>
    <row r="792" spans="1:24" ht="15.75">
      <c r="A792" s="234" t="s">
        <v>144</v>
      </c>
      <c r="B792" s="47"/>
      <c r="C792" s="45" t="s">
        <v>172</v>
      </c>
      <c r="D792" s="45"/>
      <c r="E792" s="298" t="s">
        <v>175</v>
      </c>
      <c r="F792" s="299" t="s">
        <v>175</v>
      </c>
      <c r="G792" s="58">
        <f>G793</f>
        <v>24618.874</v>
      </c>
      <c r="W792" s="58">
        <f>W793</f>
        <v>24618.874</v>
      </c>
      <c r="X792" s="58">
        <f>X793</f>
        <v>0</v>
      </c>
    </row>
    <row r="793" spans="1:24" ht="16.5" customHeight="1">
      <c r="A793" s="252" t="s">
        <v>208</v>
      </c>
      <c r="B793" s="51"/>
      <c r="C793" s="45" t="s">
        <v>172</v>
      </c>
      <c r="D793" s="45" t="s">
        <v>157</v>
      </c>
      <c r="E793" s="52"/>
      <c r="F793" s="57"/>
      <c r="G793" s="58">
        <f>G794+G801</f>
        <v>24618.874</v>
      </c>
      <c r="R793" s="333">
        <f>G793+G851</f>
        <v>28733.874</v>
      </c>
      <c r="W793" s="58">
        <f>W794+W801</f>
        <v>24618.874</v>
      </c>
      <c r="X793" s="58">
        <f>X794+X801</f>
        <v>0</v>
      </c>
    </row>
    <row r="794" spans="1:24" ht="14.25" customHeight="1">
      <c r="A794" s="242" t="s">
        <v>439</v>
      </c>
      <c r="B794" s="54"/>
      <c r="C794" s="45" t="s">
        <v>172</v>
      </c>
      <c r="D794" s="45" t="s">
        <v>157</v>
      </c>
      <c r="E794" s="52" t="s">
        <v>19</v>
      </c>
      <c r="F794" s="57"/>
      <c r="G794" s="58">
        <f>G795+G798</f>
        <v>3314.6</v>
      </c>
      <c r="W794" s="58">
        <f>W795+W798</f>
        <v>3314.6</v>
      </c>
      <c r="X794" s="58">
        <f>X795+X798</f>
        <v>0</v>
      </c>
    </row>
    <row r="795" spans="1:24" ht="15.75">
      <c r="A795" s="235" t="s">
        <v>444</v>
      </c>
      <c r="B795" s="55"/>
      <c r="C795" s="48" t="s">
        <v>172</v>
      </c>
      <c r="D795" s="48" t="s">
        <v>157</v>
      </c>
      <c r="E795" s="49" t="s">
        <v>510</v>
      </c>
      <c r="F795" s="56"/>
      <c r="G795" s="62">
        <f>G796</f>
        <v>100</v>
      </c>
      <c r="H795" s="58" t="e">
        <f>H796</f>
        <v>#REF!</v>
      </c>
      <c r="W795" s="62">
        <f>W796</f>
        <v>100</v>
      </c>
      <c r="X795" s="62">
        <f>X796</f>
        <v>0</v>
      </c>
    </row>
    <row r="796" spans="1:24" ht="15.75">
      <c r="A796" s="237" t="s">
        <v>226</v>
      </c>
      <c r="B796" s="55"/>
      <c r="C796" s="48" t="s">
        <v>172</v>
      </c>
      <c r="D796" s="48" t="s">
        <v>157</v>
      </c>
      <c r="E796" s="49" t="s">
        <v>510</v>
      </c>
      <c r="F796" s="56" t="s">
        <v>188</v>
      </c>
      <c r="G796" s="62">
        <f>G797</f>
        <v>100</v>
      </c>
      <c r="H796" s="62" t="e">
        <f>H797</f>
        <v>#REF!</v>
      </c>
      <c r="W796" s="62">
        <f>W797</f>
        <v>100</v>
      </c>
      <c r="X796" s="62">
        <f>X797</f>
        <v>0</v>
      </c>
    </row>
    <row r="797" spans="1:24" ht="15.75">
      <c r="A797" s="282" t="s">
        <v>189</v>
      </c>
      <c r="B797" s="55"/>
      <c r="C797" s="48" t="s">
        <v>172</v>
      </c>
      <c r="D797" s="48" t="s">
        <v>157</v>
      </c>
      <c r="E797" s="49" t="s">
        <v>510</v>
      </c>
      <c r="F797" s="56" t="s">
        <v>187</v>
      </c>
      <c r="G797" s="62">
        <v>100</v>
      </c>
      <c r="H797" s="62" t="e">
        <f>#REF!</f>
        <v>#REF!</v>
      </c>
      <c r="W797" s="62">
        <v>100</v>
      </c>
      <c r="X797" s="62">
        <f>G797-W797</f>
        <v>0</v>
      </c>
    </row>
    <row r="798" spans="1:24" ht="15.75">
      <c r="A798" s="235" t="s">
        <v>441</v>
      </c>
      <c r="B798" s="55"/>
      <c r="C798" s="48" t="s">
        <v>172</v>
      </c>
      <c r="D798" s="48" t="s">
        <v>157</v>
      </c>
      <c r="E798" s="49" t="s">
        <v>9</v>
      </c>
      <c r="F798" s="56"/>
      <c r="G798" s="62">
        <f>G799</f>
        <v>3214.6</v>
      </c>
      <c r="H798" s="58" t="e">
        <f>H799</f>
        <v>#REF!</v>
      </c>
      <c r="W798" s="62">
        <f>W799</f>
        <v>3214.6</v>
      </c>
      <c r="X798" s="62">
        <f>X799</f>
        <v>0</v>
      </c>
    </row>
    <row r="799" spans="1:24" ht="15.75">
      <c r="A799" s="237" t="s">
        <v>226</v>
      </c>
      <c r="B799" s="55"/>
      <c r="C799" s="48" t="s">
        <v>172</v>
      </c>
      <c r="D799" s="48" t="s">
        <v>157</v>
      </c>
      <c r="E799" s="49" t="s">
        <v>9</v>
      </c>
      <c r="F799" s="56" t="s">
        <v>188</v>
      </c>
      <c r="G799" s="62">
        <f>G800</f>
        <v>3214.6</v>
      </c>
      <c r="H799" s="62" t="e">
        <f>H800</f>
        <v>#REF!</v>
      </c>
      <c r="W799" s="62">
        <f>W800</f>
        <v>3214.6</v>
      </c>
      <c r="X799" s="62">
        <f>X800</f>
        <v>0</v>
      </c>
    </row>
    <row r="800" spans="1:24" ht="15.75">
      <c r="A800" s="282" t="s">
        <v>189</v>
      </c>
      <c r="B800" s="55"/>
      <c r="C800" s="48" t="s">
        <v>172</v>
      </c>
      <c r="D800" s="48" t="s">
        <v>157</v>
      </c>
      <c r="E800" s="49" t="s">
        <v>9</v>
      </c>
      <c r="F800" s="56" t="s">
        <v>187</v>
      </c>
      <c r="G800" s="62">
        <v>3214.6</v>
      </c>
      <c r="H800" s="62" t="e">
        <f>#REF!</f>
        <v>#REF!</v>
      </c>
      <c r="W800" s="62">
        <v>3214.6</v>
      </c>
      <c r="X800" s="62">
        <f>G800-W800</f>
        <v>0</v>
      </c>
    </row>
    <row r="801" spans="1:24" s="13" customFormat="1" ht="29.25" customHeight="1">
      <c r="A801" s="252" t="s">
        <v>322</v>
      </c>
      <c r="B801" s="54"/>
      <c r="C801" s="45" t="s">
        <v>172</v>
      </c>
      <c r="D801" s="45" t="s">
        <v>157</v>
      </c>
      <c r="E801" s="52" t="s">
        <v>323</v>
      </c>
      <c r="F801" s="57"/>
      <c r="G801" s="58">
        <f>G802+G805</f>
        <v>21304.274</v>
      </c>
      <c r="H801" s="31"/>
      <c r="I801" s="31"/>
      <c r="J801" s="31"/>
      <c r="K801" s="31"/>
      <c r="L801" s="31"/>
      <c r="M801" s="31"/>
      <c r="N801" s="31"/>
      <c r="O801" s="31"/>
      <c r="P801" s="31"/>
      <c r="Q801" s="32"/>
      <c r="R801" s="31"/>
      <c r="S801" s="31"/>
      <c r="T801" s="31"/>
      <c r="U801" s="31"/>
      <c r="V801" s="31"/>
      <c r="W801" s="58">
        <f>W802+W805</f>
        <v>21304.274</v>
      </c>
      <c r="X801" s="58">
        <f>X802+X805</f>
        <v>0</v>
      </c>
    </row>
    <row r="802" spans="1:24" s="13" customFormat="1" ht="63">
      <c r="A802" s="257" t="s">
        <v>326</v>
      </c>
      <c r="B802" s="54"/>
      <c r="C802" s="48" t="s">
        <v>172</v>
      </c>
      <c r="D802" s="48" t="s">
        <v>157</v>
      </c>
      <c r="E802" s="49" t="s">
        <v>324</v>
      </c>
      <c r="F802" s="57"/>
      <c r="G802" s="62">
        <f>G803</f>
        <v>20899.088</v>
      </c>
      <c r="H802" s="31"/>
      <c r="I802" s="31"/>
      <c r="J802" s="31"/>
      <c r="K802" s="31"/>
      <c r="L802" s="31"/>
      <c r="M802" s="31"/>
      <c r="N802" s="31"/>
      <c r="O802" s="31"/>
      <c r="P802" s="31"/>
      <c r="Q802" s="32"/>
      <c r="R802" s="31"/>
      <c r="S802" s="31"/>
      <c r="T802" s="31"/>
      <c r="U802" s="31"/>
      <c r="V802" s="31"/>
      <c r="W802" s="62">
        <f>W803</f>
        <v>20899.088</v>
      </c>
      <c r="X802" s="62">
        <f>X803</f>
        <v>0</v>
      </c>
    </row>
    <row r="803" spans="1:24" s="13" customFormat="1" ht="15.75">
      <c r="A803" s="238" t="s">
        <v>90</v>
      </c>
      <c r="B803" s="55"/>
      <c r="C803" s="48" t="s">
        <v>172</v>
      </c>
      <c r="D803" s="48" t="s">
        <v>157</v>
      </c>
      <c r="E803" s="49" t="s">
        <v>324</v>
      </c>
      <c r="F803" s="56" t="s">
        <v>87</v>
      </c>
      <c r="G803" s="62">
        <f>G804</f>
        <v>20899.088</v>
      </c>
      <c r="H803" s="31"/>
      <c r="I803" s="31"/>
      <c r="J803" s="31"/>
      <c r="K803" s="31"/>
      <c r="L803" s="31"/>
      <c r="M803" s="31"/>
      <c r="N803" s="31"/>
      <c r="O803" s="31"/>
      <c r="P803" s="31"/>
      <c r="Q803" s="32"/>
      <c r="R803" s="31"/>
      <c r="S803" s="31"/>
      <c r="T803" s="31"/>
      <c r="U803" s="31"/>
      <c r="V803" s="31"/>
      <c r="W803" s="62">
        <f>W804</f>
        <v>20899.088</v>
      </c>
      <c r="X803" s="62">
        <f>X804</f>
        <v>0</v>
      </c>
    </row>
    <row r="804" spans="1:24" s="13" customFormat="1" ht="15.75">
      <c r="A804" s="271" t="s">
        <v>209</v>
      </c>
      <c r="B804" s="55"/>
      <c r="C804" s="48" t="s">
        <v>172</v>
      </c>
      <c r="D804" s="48" t="s">
        <v>157</v>
      </c>
      <c r="E804" s="49" t="s">
        <v>324</v>
      </c>
      <c r="F804" s="56" t="s">
        <v>210</v>
      </c>
      <c r="G804" s="72">
        <v>20899.088</v>
      </c>
      <c r="H804" s="31"/>
      <c r="I804" s="31"/>
      <c r="J804" s="31"/>
      <c r="K804" s="31"/>
      <c r="L804" s="31"/>
      <c r="M804" s="31"/>
      <c r="N804" s="31"/>
      <c r="O804" s="31"/>
      <c r="P804" s="31"/>
      <c r="Q804" s="32"/>
      <c r="R804" s="31"/>
      <c r="S804" s="31"/>
      <c r="T804" s="31"/>
      <c r="U804" s="31"/>
      <c r="V804" s="31"/>
      <c r="W804" s="72">
        <v>20899.088</v>
      </c>
      <c r="X804" s="62">
        <f>G804-W804</f>
        <v>0</v>
      </c>
    </row>
    <row r="805" spans="1:24" s="13" customFormat="1" ht="47.25">
      <c r="A805" s="257" t="s">
        <v>327</v>
      </c>
      <c r="B805" s="54"/>
      <c r="C805" s="48" t="s">
        <v>172</v>
      </c>
      <c r="D805" s="48" t="s">
        <v>157</v>
      </c>
      <c r="E805" s="49" t="s">
        <v>325</v>
      </c>
      <c r="F805" s="57"/>
      <c r="G805" s="62">
        <f>G806</f>
        <v>405.186</v>
      </c>
      <c r="H805" s="31"/>
      <c r="I805" s="31"/>
      <c r="J805" s="31"/>
      <c r="K805" s="31"/>
      <c r="L805" s="31"/>
      <c r="M805" s="31"/>
      <c r="N805" s="31"/>
      <c r="O805" s="31"/>
      <c r="P805" s="31"/>
      <c r="Q805" s="32"/>
      <c r="R805" s="31"/>
      <c r="S805" s="31"/>
      <c r="T805" s="31"/>
      <c r="U805" s="31"/>
      <c r="V805" s="31"/>
      <c r="W805" s="62">
        <f>W806</f>
        <v>405.186</v>
      </c>
      <c r="X805" s="62">
        <f>X806</f>
        <v>0</v>
      </c>
    </row>
    <row r="806" spans="1:24" s="13" customFormat="1" ht="15.75">
      <c r="A806" s="238" t="s">
        <v>90</v>
      </c>
      <c r="B806" s="55"/>
      <c r="C806" s="48" t="s">
        <v>172</v>
      </c>
      <c r="D806" s="48" t="s">
        <v>157</v>
      </c>
      <c r="E806" s="49" t="s">
        <v>325</v>
      </c>
      <c r="F806" s="56" t="s">
        <v>87</v>
      </c>
      <c r="G806" s="62">
        <f>G807</f>
        <v>405.186</v>
      </c>
      <c r="H806" s="31"/>
      <c r="I806" s="31"/>
      <c r="J806" s="31"/>
      <c r="K806" s="31"/>
      <c r="L806" s="31"/>
      <c r="M806" s="31"/>
      <c r="N806" s="31"/>
      <c r="O806" s="31"/>
      <c r="P806" s="31"/>
      <c r="Q806" s="32"/>
      <c r="R806" s="31"/>
      <c r="S806" s="31"/>
      <c r="T806" s="31"/>
      <c r="U806" s="31"/>
      <c r="V806" s="31"/>
      <c r="W806" s="62">
        <f>W807</f>
        <v>405.186</v>
      </c>
      <c r="X806" s="62">
        <f>X807</f>
        <v>0</v>
      </c>
    </row>
    <row r="807" spans="1:24" s="13" customFormat="1" ht="15.75">
      <c r="A807" s="271" t="s">
        <v>209</v>
      </c>
      <c r="B807" s="55"/>
      <c r="C807" s="48" t="s">
        <v>172</v>
      </c>
      <c r="D807" s="48" t="s">
        <v>157</v>
      </c>
      <c r="E807" s="49" t="s">
        <v>325</v>
      </c>
      <c r="F807" s="56" t="s">
        <v>210</v>
      </c>
      <c r="G807" s="72">
        <v>405.186</v>
      </c>
      <c r="H807" s="31"/>
      <c r="I807" s="31"/>
      <c r="J807" s="31"/>
      <c r="K807" s="31"/>
      <c r="L807" s="31"/>
      <c r="M807" s="31"/>
      <c r="N807" s="31"/>
      <c r="O807" s="31"/>
      <c r="P807" s="31"/>
      <c r="Q807" s="32"/>
      <c r="R807" s="31"/>
      <c r="S807" s="31"/>
      <c r="T807" s="31"/>
      <c r="U807" s="31"/>
      <c r="V807" s="31"/>
      <c r="W807" s="72">
        <v>405.186</v>
      </c>
      <c r="X807" s="62">
        <f>G807-W807</f>
        <v>0</v>
      </c>
    </row>
    <row r="808" spans="1:24" ht="15.75">
      <c r="A808" s="234" t="s">
        <v>155</v>
      </c>
      <c r="B808" s="47"/>
      <c r="C808" s="45" t="s">
        <v>127</v>
      </c>
      <c r="D808" s="45"/>
      <c r="E808" s="298" t="s">
        <v>175</v>
      </c>
      <c r="F808" s="299" t="s">
        <v>175</v>
      </c>
      <c r="G808" s="58">
        <f>G809</f>
        <v>2941.7</v>
      </c>
      <c r="W808" s="58">
        <f aca="true" t="shared" si="46" ref="W808:X812">W809</f>
        <v>2941.7</v>
      </c>
      <c r="X808" s="58">
        <f t="shared" si="46"/>
        <v>0</v>
      </c>
    </row>
    <row r="809" spans="1:24" ht="16.5" customHeight="1">
      <c r="A809" s="252" t="s">
        <v>159</v>
      </c>
      <c r="B809" s="51"/>
      <c r="C809" s="45" t="s">
        <v>127</v>
      </c>
      <c r="D809" s="45" t="s">
        <v>170</v>
      </c>
      <c r="E809" s="52"/>
      <c r="F809" s="57"/>
      <c r="G809" s="58">
        <f>G810</f>
        <v>2941.7</v>
      </c>
      <c r="W809" s="58">
        <f t="shared" si="46"/>
        <v>2941.7</v>
      </c>
      <c r="X809" s="58">
        <f t="shared" si="46"/>
        <v>0</v>
      </c>
    </row>
    <row r="810" spans="1:24" ht="17.25" customHeight="1">
      <c r="A810" s="242" t="s">
        <v>439</v>
      </c>
      <c r="B810" s="54"/>
      <c r="C810" s="45" t="s">
        <v>127</v>
      </c>
      <c r="D810" s="45" t="s">
        <v>170</v>
      </c>
      <c r="E810" s="52" t="s">
        <v>19</v>
      </c>
      <c r="F810" s="57"/>
      <c r="G810" s="58">
        <f>G811</f>
        <v>2941.7</v>
      </c>
      <c r="W810" s="58">
        <f t="shared" si="46"/>
        <v>2941.7</v>
      </c>
      <c r="X810" s="58">
        <f t="shared" si="46"/>
        <v>0</v>
      </c>
    </row>
    <row r="811" spans="1:24" ht="47.25">
      <c r="A811" s="235" t="s">
        <v>649</v>
      </c>
      <c r="B811" s="55"/>
      <c r="C811" s="48" t="s">
        <v>127</v>
      </c>
      <c r="D811" s="48" t="s">
        <v>170</v>
      </c>
      <c r="E811" s="49" t="s">
        <v>648</v>
      </c>
      <c r="F811" s="56"/>
      <c r="G811" s="62">
        <f>G812</f>
        <v>2941.7</v>
      </c>
      <c r="H811" s="62">
        <v>0</v>
      </c>
      <c r="W811" s="62">
        <f t="shared" si="46"/>
        <v>2941.7</v>
      </c>
      <c r="X811" s="62">
        <f t="shared" si="46"/>
        <v>0</v>
      </c>
    </row>
    <row r="812" spans="1:24" ht="15.75">
      <c r="A812" s="163" t="s">
        <v>227</v>
      </c>
      <c r="B812" s="55"/>
      <c r="C812" s="48" t="s">
        <v>127</v>
      </c>
      <c r="D812" s="48" t="s">
        <v>170</v>
      </c>
      <c r="E812" s="49" t="s">
        <v>648</v>
      </c>
      <c r="F812" s="56" t="s">
        <v>199</v>
      </c>
      <c r="G812" s="62">
        <f>G813</f>
        <v>2941.7</v>
      </c>
      <c r="H812" s="62">
        <f>H813</f>
        <v>0</v>
      </c>
      <c r="W812" s="62">
        <f t="shared" si="46"/>
        <v>2941.7</v>
      </c>
      <c r="X812" s="62">
        <f t="shared" si="46"/>
        <v>0</v>
      </c>
    </row>
    <row r="813" spans="1:24" ht="15.75">
      <c r="A813" s="271" t="s">
        <v>179</v>
      </c>
      <c r="B813" s="55"/>
      <c r="C813" s="48" t="s">
        <v>127</v>
      </c>
      <c r="D813" s="48" t="s">
        <v>170</v>
      </c>
      <c r="E813" s="49" t="s">
        <v>648</v>
      </c>
      <c r="F813" s="56" t="s">
        <v>200</v>
      </c>
      <c r="G813" s="62">
        <v>2941.7</v>
      </c>
      <c r="H813" s="62">
        <f>H823</f>
        <v>0</v>
      </c>
      <c r="W813" s="62">
        <v>2941.7</v>
      </c>
      <c r="X813" s="62">
        <f>G813-W813</f>
        <v>0</v>
      </c>
    </row>
    <row r="814" spans="1:24" ht="15.75">
      <c r="A814" s="254" t="s">
        <v>526</v>
      </c>
      <c r="B814" s="111" t="s">
        <v>207</v>
      </c>
      <c r="C814" s="169"/>
      <c r="D814" s="169"/>
      <c r="E814" s="170"/>
      <c r="F814" s="169"/>
      <c r="G814" s="314">
        <f>G815</f>
        <v>2639.3</v>
      </c>
      <c r="H814" s="62">
        <v>0</v>
      </c>
      <c r="R814" s="333">
        <f>G819+G823</f>
        <v>2639.3</v>
      </c>
      <c r="W814" s="314">
        <f aca="true" t="shared" si="47" ref="W814:X816">W815</f>
        <v>2639.3</v>
      </c>
      <c r="X814" s="314">
        <f t="shared" si="47"/>
        <v>0</v>
      </c>
    </row>
    <row r="815" spans="1:24" ht="15.75">
      <c r="A815" s="234" t="s">
        <v>131</v>
      </c>
      <c r="B815" s="51"/>
      <c r="C815" s="45" t="s">
        <v>157</v>
      </c>
      <c r="D815" s="48"/>
      <c r="E815" s="49" t="s">
        <v>175</v>
      </c>
      <c r="F815" s="48"/>
      <c r="G815" s="58">
        <f>G816</f>
        <v>2639.3</v>
      </c>
      <c r="W815" s="58">
        <f t="shared" si="47"/>
        <v>2639.3</v>
      </c>
      <c r="X815" s="58">
        <f t="shared" si="47"/>
        <v>0</v>
      </c>
    </row>
    <row r="816" spans="1:24" ht="31.5">
      <c r="A816" s="242" t="s">
        <v>154</v>
      </c>
      <c r="B816" s="66"/>
      <c r="C816" s="45" t="s">
        <v>157</v>
      </c>
      <c r="D816" s="45" t="s">
        <v>130</v>
      </c>
      <c r="E816" s="52" t="s">
        <v>175</v>
      </c>
      <c r="F816" s="67"/>
      <c r="G816" s="68">
        <f>G817</f>
        <v>2639.3</v>
      </c>
      <c r="W816" s="68">
        <f t="shared" si="47"/>
        <v>2639.3</v>
      </c>
      <c r="X816" s="68">
        <f t="shared" si="47"/>
        <v>0</v>
      </c>
    </row>
    <row r="817" spans="1:24" ht="16.5" customHeight="1">
      <c r="A817" s="242" t="s">
        <v>527</v>
      </c>
      <c r="B817" s="66"/>
      <c r="C817" s="45" t="s">
        <v>157</v>
      </c>
      <c r="D817" s="45" t="s">
        <v>130</v>
      </c>
      <c r="E817" s="52" t="s">
        <v>71</v>
      </c>
      <c r="F817" s="67"/>
      <c r="G817" s="68">
        <f>G818+G822</f>
        <v>2639.3</v>
      </c>
      <c r="W817" s="68">
        <f>W818+W822</f>
        <v>2639.3</v>
      </c>
      <c r="X817" s="68">
        <f>X818+X822</f>
        <v>0</v>
      </c>
    </row>
    <row r="818" spans="1:24" ht="31.5">
      <c r="A818" s="238" t="s">
        <v>639</v>
      </c>
      <c r="B818" s="66"/>
      <c r="C818" s="48" t="s">
        <v>157</v>
      </c>
      <c r="D818" s="48" t="s">
        <v>130</v>
      </c>
      <c r="E818" s="49" t="s">
        <v>72</v>
      </c>
      <c r="F818" s="69"/>
      <c r="G818" s="70">
        <f>G819</f>
        <v>1451.9</v>
      </c>
      <c r="W818" s="70">
        <f aca="true" t="shared" si="48" ref="W818:X820">W819</f>
        <v>1451.9</v>
      </c>
      <c r="X818" s="70">
        <f t="shared" si="48"/>
        <v>0</v>
      </c>
    </row>
    <row r="819" spans="1:24" s="13" customFormat="1" ht="15.75">
      <c r="A819" s="238" t="s">
        <v>103</v>
      </c>
      <c r="B819" s="66"/>
      <c r="C819" s="48" t="s">
        <v>157</v>
      </c>
      <c r="D819" s="48" t="s">
        <v>130</v>
      </c>
      <c r="E819" s="49" t="s">
        <v>73</v>
      </c>
      <c r="F819" s="69"/>
      <c r="G819" s="70">
        <f>G820</f>
        <v>1451.9</v>
      </c>
      <c r="H819" s="347"/>
      <c r="I819" s="31"/>
      <c r="J819" s="31"/>
      <c r="K819" s="31"/>
      <c r="L819" s="31"/>
      <c r="M819" s="31"/>
      <c r="N819" s="31"/>
      <c r="O819" s="31"/>
      <c r="P819" s="31"/>
      <c r="Q819" s="32"/>
      <c r="R819" s="31"/>
      <c r="S819" s="31"/>
      <c r="T819" s="31"/>
      <c r="U819" s="31"/>
      <c r="V819" s="31"/>
      <c r="W819" s="70">
        <f t="shared" si="48"/>
        <v>1451.9</v>
      </c>
      <c r="X819" s="70">
        <f t="shared" si="48"/>
        <v>0</v>
      </c>
    </row>
    <row r="820" spans="1:24" s="13" customFormat="1" ht="47.25">
      <c r="A820" s="237" t="s">
        <v>116</v>
      </c>
      <c r="B820" s="66"/>
      <c r="C820" s="48" t="s">
        <v>157</v>
      </c>
      <c r="D820" s="48" t="s">
        <v>130</v>
      </c>
      <c r="E820" s="49" t="s">
        <v>73</v>
      </c>
      <c r="F820" s="56" t="s">
        <v>198</v>
      </c>
      <c r="G820" s="70">
        <f>G821</f>
        <v>1451.9</v>
      </c>
      <c r="H820" s="31"/>
      <c r="I820" s="31"/>
      <c r="J820" s="31"/>
      <c r="K820" s="31"/>
      <c r="L820" s="31"/>
      <c r="M820" s="31"/>
      <c r="N820" s="31"/>
      <c r="O820" s="31"/>
      <c r="P820" s="31"/>
      <c r="Q820" s="32"/>
      <c r="R820" s="31"/>
      <c r="S820" s="31"/>
      <c r="T820" s="31"/>
      <c r="U820" s="31"/>
      <c r="V820" s="31"/>
      <c r="W820" s="70">
        <f t="shared" si="48"/>
        <v>1451.9</v>
      </c>
      <c r="X820" s="70">
        <f t="shared" si="48"/>
        <v>0</v>
      </c>
    </row>
    <row r="821" spans="1:24" s="13" customFormat="1" ht="15.75">
      <c r="A821" s="237" t="s">
        <v>193</v>
      </c>
      <c r="B821" s="66"/>
      <c r="C821" s="48" t="s">
        <v>157</v>
      </c>
      <c r="D821" s="48" t="s">
        <v>130</v>
      </c>
      <c r="E821" s="49" t="s">
        <v>73</v>
      </c>
      <c r="F821" s="56" t="s">
        <v>194</v>
      </c>
      <c r="G821" s="62">
        <f>1777-325.1</f>
        <v>1451.9</v>
      </c>
      <c r="H821" s="31"/>
      <c r="I821" s="31"/>
      <c r="J821" s="31"/>
      <c r="K821" s="31"/>
      <c r="L821" s="31"/>
      <c r="M821" s="31"/>
      <c r="N821" s="31"/>
      <c r="O821" s="31"/>
      <c r="P821" s="31"/>
      <c r="Q821" s="32"/>
      <c r="R821" s="31"/>
      <c r="S821" s="31"/>
      <c r="T821" s="31"/>
      <c r="U821" s="31"/>
      <c r="V821" s="31"/>
      <c r="W821" s="62">
        <f>1777-325.1</f>
        <v>1451.9</v>
      </c>
      <c r="X821" s="62">
        <f>G821-W821</f>
        <v>0</v>
      </c>
    </row>
    <row r="822" spans="1:24" s="13" customFormat="1" ht="23.25" customHeight="1">
      <c r="A822" s="240" t="s">
        <v>528</v>
      </c>
      <c r="B822" s="66"/>
      <c r="C822" s="48" t="s">
        <v>157</v>
      </c>
      <c r="D822" s="48" t="s">
        <v>130</v>
      </c>
      <c r="E822" s="49" t="s">
        <v>640</v>
      </c>
      <c r="F822" s="56"/>
      <c r="G822" s="62">
        <f>G823</f>
        <v>1187.4</v>
      </c>
      <c r="H822" s="31"/>
      <c r="I822" s="31"/>
      <c r="J822" s="31"/>
      <c r="K822" s="31"/>
      <c r="L822" s="31"/>
      <c r="M822" s="31"/>
      <c r="N822" s="31"/>
      <c r="O822" s="31"/>
      <c r="P822" s="31"/>
      <c r="Q822" s="32"/>
      <c r="R822" s="31"/>
      <c r="S822" s="31"/>
      <c r="T822" s="31"/>
      <c r="U822" s="31"/>
      <c r="V822" s="31"/>
      <c r="W822" s="62">
        <f>W823</f>
        <v>1187.4</v>
      </c>
      <c r="X822" s="62">
        <f>X823</f>
        <v>0</v>
      </c>
    </row>
    <row r="823" spans="1:24" s="13" customFormat="1" ht="15.75">
      <c r="A823" s="238" t="s">
        <v>103</v>
      </c>
      <c r="B823" s="66"/>
      <c r="C823" s="48" t="s">
        <v>157</v>
      </c>
      <c r="D823" s="48" t="s">
        <v>130</v>
      </c>
      <c r="E823" s="49" t="s">
        <v>641</v>
      </c>
      <c r="F823" s="69"/>
      <c r="G823" s="70">
        <f>G824+G826</f>
        <v>1187.4</v>
      </c>
      <c r="H823" s="31"/>
      <c r="I823" s="31"/>
      <c r="J823" s="31"/>
      <c r="K823" s="31"/>
      <c r="L823" s="31"/>
      <c r="M823" s="31"/>
      <c r="N823" s="31"/>
      <c r="O823" s="31"/>
      <c r="P823" s="31"/>
      <c r="Q823" s="32"/>
      <c r="R823" s="31"/>
      <c r="S823" s="31"/>
      <c r="T823" s="31"/>
      <c r="U823" s="31"/>
      <c r="V823" s="31"/>
      <c r="W823" s="70">
        <f>W824+W826</f>
        <v>1187.4</v>
      </c>
      <c r="X823" s="70">
        <f>X824+X826</f>
        <v>0</v>
      </c>
    </row>
    <row r="824" spans="1:24" s="13" customFormat="1" ht="47.25">
      <c r="A824" s="237" t="s">
        <v>116</v>
      </c>
      <c r="B824" s="66"/>
      <c r="C824" s="48" t="s">
        <v>157</v>
      </c>
      <c r="D824" s="48" t="s">
        <v>130</v>
      </c>
      <c r="E824" s="49" t="s">
        <v>641</v>
      </c>
      <c r="F824" s="56" t="s">
        <v>198</v>
      </c>
      <c r="G824" s="70">
        <f>G825</f>
        <v>1147.5</v>
      </c>
      <c r="H824" s="31"/>
      <c r="I824" s="31"/>
      <c r="J824" s="31"/>
      <c r="K824" s="31"/>
      <c r="L824" s="31"/>
      <c r="M824" s="31"/>
      <c r="N824" s="31"/>
      <c r="O824" s="31"/>
      <c r="P824" s="31"/>
      <c r="Q824" s="32"/>
      <c r="R824" s="31"/>
      <c r="S824" s="31"/>
      <c r="T824" s="31"/>
      <c r="U824" s="31"/>
      <c r="V824" s="31"/>
      <c r="W824" s="70">
        <f>W825</f>
        <v>1147.5</v>
      </c>
      <c r="X824" s="70">
        <f>X825</f>
        <v>0</v>
      </c>
    </row>
    <row r="825" spans="1:24" s="13" customFormat="1" ht="15.75">
      <c r="A825" s="237" t="s">
        <v>193</v>
      </c>
      <c r="B825" s="66"/>
      <c r="C825" s="48" t="s">
        <v>157</v>
      </c>
      <c r="D825" s="48" t="s">
        <v>130</v>
      </c>
      <c r="E825" s="49" t="s">
        <v>641</v>
      </c>
      <c r="F825" s="56" t="s">
        <v>194</v>
      </c>
      <c r="G825" s="62">
        <f>1317-169.5</f>
        <v>1147.5</v>
      </c>
      <c r="H825" s="31"/>
      <c r="I825" s="31"/>
      <c r="J825" s="31"/>
      <c r="K825" s="31"/>
      <c r="L825" s="31"/>
      <c r="M825" s="31"/>
      <c r="N825" s="31"/>
      <c r="O825" s="31"/>
      <c r="P825" s="31"/>
      <c r="Q825" s="32"/>
      <c r="R825" s="31"/>
      <c r="S825" s="31"/>
      <c r="T825" s="31"/>
      <c r="U825" s="31"/>
      <c r="V825" s="31"/>
      <c r="W825" s="62">
        <f>1317-169.5</f>
        <v>1147.5</v>
      </c>
      <c r="X825" s="62">
        <f>G825-W825</f>
        <v>0</v>
      </c>
    </row>
    <row r="826" spans="1:24" s="13" customFormat="1" ht="15.75">
      <c r="A826" s="237" t="s">
        <v>226</v>
      </c>
      <c r="B826" s="55"/>
      <c r="C826" s="48" t="s">
        <v>157</v>
      </c>
      <c r="D826" s="48" t="s">
        <v>130</v>
      </c>
      <c r="E826" s="49" t="s">
        <v>641</v>
      </c>
      <c r="F826" s="56" t="s">
        <v>188</v>
      </c>
      <c r="G826" s="62">
        <f>G827</f>
        <v>39.9</v>
      </c>
      <c r="H826" s="31"/>
      <c r="I826" s="31"/>
      <c r="J826" s="31"/>
      <c r="K826" s="31"/>
      <c r="L826" s="31"/>
      <c r="M826" s="31"/>
      <c r="N826" s="31"/>
      <c r="O826" s="31"/>
      <c r="P826" s="31"/>
      <c r="Q826" s="32"/>
      <c r="R826" s="31"/>
      <c r="S826" s="31"/>
      <c r="T826" s="31"/>
      <c r="U826" s="31"/>
      <c r="V826" s="31"/>
      <c r="W826" s="62">
        <f>W827</f>
        <v>39.9</v>
      </c>
      <c r="X826" s="62">
        <f>X827</f>
        <v>0</v>
      </c>
    </row>
    <row r="827" spans="1:24" s="13" customFormat="1" ht="15.75">
      <c r="A827" s="257" t="s">
        <v>189</v>
      </c>
      <c r="B827" s="55"/>
      <c r="C827" s="48" t="s">
        <v>157</v>
      </c>
      <c r="D827" s="48" t="s">
        <v>130</v>
      </c>
      <c r="E827" s="49" t="s">
        <v>641</v>
      </c>
      <c r="F827" s="56" t="s">
        <v>187</v>
      </c>
      <c r="G827" s="62">
        <v>39.9</v>
      </c>
      <c r="H827" s="31"/>
      <c r="I827" s="31"/>
      <c r="J827" s="31"/>
      <c r="K827" s="31"/>
      <c r="L827" s="31"/>
      <c r="M827" s="31"/>
      <c r="N827" s="31"/>
      <c r="O827" s="31"/>
      <c r="P827" s="31"/>
      <c r="Q827" s="32"/>
      <c r="R827" s="31"/>
      <c r="S827" s="31"/>
      <c r="T827" s="31"/>
      <c r="U827" s="31"/>
      <c r="V827" s="31"/>
      <c r="W827" s="62">
        <v>39.9</v>
      </c>
      <c r="X827" s="62">
        <f>G827-W827</f>
        <v>0</v>
      </c>
    </row>
    <row r="828" spans="1:24" s="13" customFormat="1" ht="31.5">
      <c r="A828" s="254" t="s">
        <v>609</v>
      </c>
      <c r="B828" s="111" t="s">
        <v>213</v>
      </c>
      <c r="C828" s="169"/>
      <c r="D828" s="169"/>
      <c r="E828" s="170"/>
      <c r="F828" s="169"/>
      <c r="G828" s="314">
        <f>G829+G837+G850+G944+G931+G937+G953</f>
        <v>184305.62999999998</v>
      </c>
      <c r="H828" s="314">
        <f aca="true" t="shared" si="49" ref="H828:X828">H829+H837+H850+H944+H931+H937+H953</f>
        <v>0</v>
      </c>
      <c r="I828" s="314">
        <f t="shared" si="49"/>
        <v>0</v>
      </c>
      <c r="J828" s="314">
        <f t="shared" si="49"/>
        <v>0</v>
      </c>
      <c r="K828" s="314">
        <f t="shared" si="49"/>
        <v>0</v>
      </c>
      <c r="L828" s="314">
        <f t="shared" si="49"/>
        <v>0</v>
      </c>
      <c r="M828" s="314">
        <f t="shared" si="49"/>
        <v>0</v>
      </c>
      <c r="N828" s="314">
        <f t="shared" si="49"/>
        <v>0</v>
      </c>
      <c r="O828" s="314">
        <f t="shared" si="49"/>
        <v>0</v>
      </c>
      <c r="P828" s="314">
        <f t="shared" si="49"/>
        <v>0</v>
      </c>
      <c r="Q828" s="314">
        <f t="shared" si="49"/>
        <v>0</v>
      </c>
      <c r="R828" s="314">
        <f t="shared" si="49"/>
        <v>0</v>
      </c>
      <c r="S828" s="314">
        <f t="shared" si="49"/>
        <v>0</v>
      </c>
      <c r="T828" s="314">
        <f t="shared" si="49"/>
        <v>0</v>
      </c>
      <c r="U828" s="314">
        <f t="shared" si="49"/>
        <v>0</v>
      </c>
      <c r="V828" s="314">
        <f t="shared" si="49"/>
        <v>0</v>
      </c>
      <c r="W828" s="314">
        <f>W829+W837+W850+W944+W931+W937+W953</f>
        <v>182207.97999999998</v>
      </c>
      <c r="X828" s="314">
        <f t="shared" si="49"/>
        <v>2097.65</v>
      </c>
    </row>
    <row r="829" spans="1:24" s="13" customFormat="1" ht="15.75">
      <c r="A829" s="234" t="s">
        <v>131</v>
      </c>
      <c r="B829" s="51"/>
      <c r="C829" s="45" t="s">
        <v>157</v>
      </c>
      <c r="D829" s="48"/>
      <c r="E829" s="49" t="s">
        <v>175</v>
      </c>
      <c r="F829" s="48"/>
      <c r="G829" s="104">
        <f>G831</f>
        <v>17526.8</v>
      </c>
      <c r="H829" s="31"/>
      <c r="I829" s="31"/>
      <c r="J829" s="31"/>
      <c r="K829" s="31"/>
      <c r="L829" s="31"/>
      <c r="M829" s="31"/>
      <c r="N829" s="31"/>
      <c r="O829" s="31"/>
      <c r="P829" s="31"/>
      <c r="Q829" s="32"/>
      <c r="R829" s="31"/>
      <c r="S829" s="31"/>
      <c r="T829" s="31"/>
      <c r="U829" s="31"/>
      <c r="V829" s="31"/>
      <c r="W829" s="104">
        <f>W831</f>
        <v>17526.8</v>
      </c>
      <c r="X829" s="104">
        <f>X831</f>
        <v>0</v>
      </c>
    </row>
    <row r="830" spans="1:24" s="13" customFormat="1" ht="31.5">
      <c r="A830" s="234" t="s">
        <v>205</v>
      </c>
      <c r="B830" s="51"/>
      <c r="C830" s="45" t="s">
        <v>157</v>
      </c>
      <c r="D830" s="45" t="s">
        <v>170</v>
      </c>
      <c r="E830" s="52"/>
      <c r="F830" s="57"/>
      <c r="G830" s="58">
        <f>G831</f>
        <v>17526.8</v>
      </c>
      <c r="H830" s="31"/>
      <c r="I830" s="31"/>
      <c r="J830" s="31"/>
      <c r="K830" s="31"/>
      <c r="L830" s="31"/>
      <c r="M830" s="31"/>
      <c r="N830" s="31"/>
      <c r="O830" s="31"/>
      <c r="P830" s="31"/>
      <c r="Q830" s="32"/>
      <c r="R830" s="31"/>
      <c r="S830" s="31"/>
      <c r="T830" s="31"/>
      <c r="U830" s="31"/>
      <c r="V830" s="31"/>
      <c r="W830" s="58">
        <f>W831</f>
        <v>17526.8</v>
      </c>
      <c r="X830" s="58">
        <f>X831</f>
        <v>0</v>
      </c>
    </row>
    <row r="831" spans="1:24" s="13" customFormat="1" ht="47.25">
      <c r="A831" s="234" t="s">
        <v>492</v>
      </c>
      <c r="B831" s="51"/>
      <c r="C831" s="45" t="s">
        <v>157</v>
      </c>
      <c r="D831" s="45" t="s">
        <v>170</v>
      </c>
      <c r="E831" s="52" t="s">
        <v>261</v>
      </c>
      <c r="F831" s="57"/>
      <c r="G831" s="58">
        <f>G832</f>
        <v>17526.8</v>
      </c>
      <c r="H831" s="31"/>
      <c r="I831" s="31"/>
      <c r="J831" s="31"/>
      <c r="K831" s="31"/>
      <c r="L831" s="31"/>
      <c r="M831" s="31"/>
      <c r="N831" s="31"/>
      <c r="O831" s="31"/>
      <c r="P831" s="31"/>
      <c r="Q831" s="32"/>
      <c r="R831" s="31"/>
      <c r="S831" s="31"/>
      <c r="T831" s="31"/>
      <c r="U831" s="31"/>
      <c r="V831" s="31"/>
      <c r="W831" s="58">
        <f>W832</f>
        <v>17526.8</v>
      </c>
      <c r="X831" s="58">
        <f>X832</f>
        <v>0</v>
      </c>
    </row>
    <row r="832" spans="1:24" s="13" customFormat="1" ht="15.75">
      <c r="A832" s="235" t="s">
        <v>115</v>
      </c>
      <c r="B832" s="51"/>
      <c r="C832" s="48" t="s">
        <v>157</v>
      </c>
      <c r="D832" s="48" t="s">
        <v>170</v>
      </c>
      <c r="E832" s="49" t="s">
        <v>262</v>
      </c>
      <c r="F832" s="56"/>
      <c r="G832" s="62">
        <f>G833+G835</f>
        <v>17526.8</v>
      </c>
      <c r="H832" s="31"/>
      <c r="I832" s="31"/>
      <c r="J832" s="31"/>
      <c r="K832" s="31"/>
      <c r="L832" s="31"/>
      <c r="M832" s="31"/>
      <c r="N832" s="31"/>
      <c r="O832" s="31"/>
      <c r="P832" s="31"/>
      <c r="Q832" s="32"/>
      <c r="R832" s="31"/>
      <c r="S832" s="31"/>
      <c r="T832" s="31"/>
      <c r="U832" s="31"/>
      <c r="V832" s="31"/>
      <c r="W832" s="62">
        <f>W833+W835</f>
        <v>17526.8</v>
      </c>
      <c r="X832" s="62">
        <f>X833+X835</f>
        <v>0</v>
      </c>
    </row>
    <row r="833" spans="1:24" s="13" customFormat="1" ht="47.25">
      <c r="A833" s="237" t="s">
        <v>116</v>
      </c>
      <c r="B833" s="51"/>
      <c r="C833" s="48" t="s">
        <v>157</v>
      </c>
      <c r="D833" s="48" t="s">
        <v>170</v>
      </c>
      <c r="E833" s="49" t="s">
        <v>262</v>
      </c>
      <c r="F833" s="56" t="s">
        <v>198</v>
      </c>
      <c r="G833" s="62">
        <f>G834</f>
        <v>16716.6</v>
      </c>
      <c r="H833" s="31"/>
      <c r="I833" s="31"/>
      <c r="J833" s="31"/>
      <c r="K833" s="31"/>
      <c r="L833" s="31"/>
      <c r="M833" s="31"/>
      <c r="N833" s="31"/>
      <c r="O833" s="31"/>
      <c r="P833" s="31"/>
      <c r="Q833" s="32"/>
      <c r="R833" s="31"/>
      <c r="S833" s="31"/>
      <c r="T833" s="31"/>
      <c r="U833" s="31"/>
      <c r="V833" s="31"/>
      <c r="W833" s="62">
        <f>W834</f>
        <v>16716.6</v>
      </c>
      <c r="X833" s="62">
        <f>X834</f>
        <v>0</v>
      </c>
    </row>
    <row r="834" spans="1:24" s="13" customFormat="1" ht="15.75">
      <c r="A834" s="237" t="s">
        <v>193</v>
      </c>
      <c r="B834" s="55"/>
      <c r="C834" s="48" t="s">
        <v>157</v>
      </c>
      <c r="D834" s="48" t="s">
        <v>170</v>
      </c>
      <c r="E834" s="49" t="s">
        <v>262</v>
      </c>
      <c r="F834" s="56" t="s">
        <v>194</v>
      </c>
      <c r="G834" s="62">
        <v>16716.6</v>
      </c>
      <c r="H834" s="31"/>
      <c r="I834" s="31"/>
      <c r="J834" s="31"/>
      <c r="K834" s="31"/>
      <c r="L834" s="31"/>
      <c r="M834" s="31"/>
      <c r="N834" s="31"/>
      <c r="O834" s="31"/>
      <c r="P834" s="31"/>
      <c r="Q834" s="32"/>
      <c r="R834" s="31"/>
      <c r="S834" s="31"/>
      <c r="T834" s="31"/>
      <c r="U834" s="31"/>
      <c r="V834" s="31"/>
      <c r="W834" s="62">
        <v>16716.6</v>
      </c>
      <c r="X834" s="62">
        <f>G834-W834</f>
        <v>0</v>
      </c>
    </row>
    <row r="835" spans="1:24" s="13" customFormat="1" ht="15.75">
      <c r="A835" s="237" t="s">
        <v>226</v>
      </c>
      <c r="B835" s="55"/>
      <c r="C835" s="48" t="s">
        <v>157</v>
      </c>
      <c r="D835" s="48" t="s">
        <v>170</v>
      </c>
      <c r="E835" s="49" t="s">
        <v>262</v>
      </c>
      <c r="F835" s="56" t="s">
        <v>188</v>
      </c>
      <c r="G835" s="62">
        <f>G836</f>
        <v>810.2</v>
      </c>
      <c r="H835" s="31"/>
      <c r="I835" s="31"/>
      <c r="J835" s="31"/>
      <c r="K835" s="31"/>
      <c r="L835" s="31"/>
      <c r="M835" s="31"/>
      <c r="N835" s="31"/>
      <c r="O835" s="31"/>
      <c r="P835" s="31"/>
      <c r="Q835" s="32"/>
      <c r="R835" s="31"/>
      <c r="S835" s="31"/>
      <c r="T835" s="31"/>
      <c r="U835" s="31"/>
      <c r="V835" s="31"/>
      <c r="W835" s="62">
        <f>W836</f>
        <v>810.2</v>
      </c>
      <c r="X835" s="62">
        <f>X836</f>
        <v>0</v>
      </c>
    </row>
    <row r="836" spans="1:24" s="13" customFormat="1" ht="15.75">
      <c r="A836" s="237" t="s">
        <v>189</v>
      </c>
      <c r="B836" s="55"/>
      <c r="C836" s="48" t="s">
        <v>157</v>
      </c>
      <c r="D836" s="48" t="s">
        <v>170</v>
      </c>
      <c r="E836" s="49" t="s">
        <v>262</v>
      </c>
      <c r="F836" s="56" t="s">
        <v>187</v>
      </c>
      <c r="G836" s="62">
        <v>810.2</v>
      </c>
      <c r="H836" s="31"/>
      <c r="I836" s="31"/>
      <c r="J836" s="31"/>
      <c r="K836" s="31"/>
      <c r="L836" s="31"/>
      <c r="M836" s="31"/>
      <c r="N836" s="31"/>
      <c r="O836" s="31"/>
      <c r="P836" s="31"/>
      <c r="Q836" s="32"/>
      <c r="R836" s="31"/>
      <c r="S836" s="31"/>
      <c r="T836" s="31"/>
      <c r="U836" s="31"/>
      <c r="V836" s="31"/>
      <c r="W836" s="62">
        <v>810.2</v>
      </c>
      <c r="X836" s="62">
        <f>G836-W836</f>
        <v>0</v>
      </c>
    </row>
    <row r="837" spans="1:24" s="13" customFormat="1" ht="15.75">
      <c r="A837" s="234" t="s">
        <v>182</v>
      </c>
      <c r="B837" s="47"/>
      <c r="C837" s="45" t="s">
        <v>170</v>
      </c>
      <c r="D837" s="48"/>
      <c r="E837" s="49"/>
      <c r="F837" s="56"/>
      <c r="G837" s="58">
        <f>G838</f>
        <v>40523.9</v>
      </c>
      <c r="H837" s="31"/>
      <c r="I837" s="31"/>
      <c r="J837" s="31"/>
      <c r="K837" s="31"/>
      <c r="L837" s="31"/>
      <c r="M837" s="31"/>
      <c r="N837" s="31"/>
      <c r="O837" s="31"/>
      <c r="P837" s="31"/>
      <c r="Q837" s="32"/>
      <c r="R837" s="31"/>
      <c r="S837" s="31"/>
      <c r="T837" s="31"/>
      <c r="U837" s="31"/>
      <c r="V837" s="31"/>
      <c r="W837" s="58">
        <f>W838</f>
        <v>40523.9</v>
      </c>
      <c r="X837" s="58">
        <f>X838</f>
        <v>0</v>
      </c>
    </row>
    <row r="838" spans="1:24" s="13" customFormat="1" ht="15.75">
      <c r="A838" s="252" t="s">
        <v>137</v>
      </c>
      <c r="B838" s="51"/>
      <c r="C838" s="45" t="s">
        <v>170</v>
      </c>
      <c r="D838" s="45" t="s">
        <v>168</v>
      </c>
      <c r="E838" s="52"/>
      <c r="F838" s="57"/>
      <c r="G838" s="58">
        <f>G843+G839</f>
        <v>40523.9</v>
      </c>
      <c r="H838" s="31"/>
      <c r="I838" s="31"/>
      <c r="J838" s="31"/>
      <c r="K838" s="31"/>
      <c r="L838" s="31"/>
      <c r="M838" s="31"/>
      <c r="N838" s="31"/>
      <c r="O838" s="31"/>
      <c r="P838" s="31"/>
      <c r="Q838" s="32"/>
      <c r="R838" s="31"/>
      <c r="S838" s="31"/>
      <c r="T838" s="31"/>
      <c r="U838" s="31"/>
      <c r="V838" s="31"/>
      <c r="W838" s="58">
        <f>W843+W839</f>
        <v>40523.9</v>
      </c>
      <c r="X838" s="58">
        <f>X843+X839</f>
        <v>0</v>
      </c>
    </row>
    <row r="839" spans="1:24" s="13" customFormat="1" ht="31.5">
      <c r="A839" s="234" t="s">
        <v>452</v>
      </c>
      <c r="B839" s="51"/>
      <c r="C839" s="45" t="s">
        <v>170</v>
      </c>
      <c r="D839" s="45" t="s">
        <v>168</v>
      </c>
      <c r="E839" s="52" t="s">
        <v>328</v>
      </c>
      <c r="F839" s="57"/>
      <c r="G839" s="58">
        <f>G840</f>
        <v>505.9</v>
      </c>
      <c r="H839" s="31"/>
      <c r="I839" s="31"/>
      <c r="J839" s="31"/>
      <c r="K839" s="31"/>
      <c r="L839" s="31"/>
      <c r="M839" s="31"/>
      <c r="N839" s="31"/>
      <c r="O839" s="31"/>
      <c r="P839" s="31"/>
      <c r="Q839" s="32"/>
      <c r="R839" s="31"/>
      <c r="S839" s="31"/>
      <c r="T839" s="31"/>
      <c r="U839" s="31"/>
      <c r="V839" s="31"/>
      <c r="W839" s="58">
        <f aca="true" t="shared" si="50" ref="W839:X841">W840</f>
        <v>505.9</v>
      </c>
      <c r="X839" s="58">
        <f t="shared" si="50"/>
        <v>0</v>
      </c>
    </row>
    <row r="840" spans="1:24" s="13" customFormat="1" ht="15.75">
      <c r="A840" s="240" t="s">
        <v>455</v>
      </c>
      <c r="B840" s="47"/>
      <c r="C840" s="48" t="s">
        <v>170</v>
      </c>
      <c r="D840" s="48" t="s">
        <v>168</v>
      </c>
      <c r="E840" s="49" t="s">
        <v>453</v>
      </c>
      <c r="F840" s="56"/>
      <c r="G840" s="62">
        <f>G841</f>
        <v>505.9</v>
      </c>
      <c r="H840" s="31"/>
      <c r="I840" s="31"/>
      <c r="J840" s="31"/>
      <c r="K840" s="31"/>
      <c r="L840" s="31"/>
      <c r="M840" s="31"/>
      <c r="N840" s="31"/>
      <c r="O840" s="31"/>
      <c r="P840" s="31"/>
      <c r="Q840" s="32"/>
      <c r="R840" s="31"/>
      <c r="S840" s="31"/>
      <c r="T840" s="31"/>
      <c r="U840" s="31"/>
      <c r="V840" s="31"/>
      <c r="W840" s="62">
        <f t="shared" si="50"/>
        <v>505.9</v>
      </c>
      <c r="X840" s="62">
        <f t="shared" si="50"/>
        <v>0</v>
      </c>
    </row>
    <row r="841" spans="1:24" s="13" customFormat="1" ht="15.75">
      <c r="A841" s="237" t="s">
        <v>226</v>
      </c>
      <c r="B841" s="51"/>
      <c r="C841" s="48" t="s">
        <v>170</v>
      </c>
      <c r="D841" s="48" t="s">
        <v>168</v>
      </c>
      <c r="E841" s="49" t="s">
        <v>453</v>
      </c>
      <c r="F841" s="56" t="s">
        <v>188</v>
      </c>
      <c r="G841" s="62">
        <f>G842</f>
        <v>505.9</v>
      </c>
      <c r="H841" s="31"/>
      <c r="I841" s="31"/>
      <c r="J841" s="31"/>
      <c r="K841" s="31"/>
      <c r="L841" s="31"/>
      <c r="M841" s="31"/>
      <c r="N841" s="31"/>
      <c r="O841" s="31"/>
      <c r="P841" s="31"/>
      <c r="Q841" s="32"/>
      <c r="R841" s="31"/>
      <c r="S841" s="31"/>
      <c r="T841" s="31"/>
      <c r="U841" s="31"/>
      <c r="V841" s="31"/>
      <c r="W841" s="62">
        <f t="shared" si="50"/>
        <v>505.9</v>
      </c>
      <c r="X841" s="62">
        <f t="shared" si="50"/>
        <v>0</v>
      </c>
    </row>
    <row r="842" spans="1:24" s="13" customFormat="1" ht="15.75">
      <c r="A842" s="237" t="s">
        <v>189</v>
      </c>
      <c r="B842" s="51"/>
      <c r="C842" s="48" t="s">
        <v>170</v>
      </c>
      <c r="D842" s="48" t="s">
        <v>168</v>
      </c>
      <c r="E842" s="49" t="s">
        <v>453</v>
      </c>
      <c r="F842" s="56" t="s">
        <v>187</v>
      </c>
      <c r="G842" s="62">
        <v>505.9</v>
      </c>
      <c r="H842" s="31"/>
      <c r="I842" s="31"/>
      <c r="J842" s="31"/>
      <c r="K842" s="31"/>
      <c r="L842" s="31"/>
      <c r="M842" s="31"/>
      <c r="N842" s="31"/>
      <c r="O842" s="31"/>
      <c r="P842" s="31"/>
      <c r="Q842" s="32"/>
      <c r="R842" s="31"/>
      <c r="S842" s="31"/>
      <c r="T842" s="31"/>
      <c r="U842" s="31"/>
      <c r="V842" s="31"/>
      <c r="W842" s="62">
        <v>505.9</v>
      </c>
      <c r="X842" s="62">
        <f>G842-W842</f>
        <v>0</v>
      </c>
    </row>
    <row r="843" spans="1:24" s="13" customFormat="1" ht="31.5">
      <c r="A843" s="239" t="s">
        <v>442</v>
      </c>
      <c r="B843" s="51"/>
      <c r="C843" s="45" t="s">
        <v>170</v>
      </c>
      <c r="D843" s="45" t="s">
        <v>168</v>
      </c>
      <c r="E843" s="52" t="s">
        <v>15</v>
      </c>
      <c r="F843" s="57"/>
      <c r="G843" s="58">
        <f>G844+G847</f>
        <v>40018</v>
      </c>
      <c r="H843" s="31"/>
      <c r="I843" s="31"/>
      <c r="J843" s="31"/>
      <c r="K843" s="31"/>
      <c r="L843" s="31"/>
      <c r="M843" s="31"/>
      <c r="N843" s="31"/>
      <c r="O843" s="31"/>
      <c r="P843" s="31"/>
      <c r="Q843" s="32"/>
      <c r="R843" s="31"/>
      <c r="S843" s="31"/>
      <c r="T843" s="31"/>
      <c r="U843" s="31"/>
      <c r="V843" s="31"/>
      <c r="W843" s="58">
        <f>W844+W847</f>
        <v>40018</v>
      </c>
      <c r="X843" s="58">
        <f>X844+X847</f>
        <v>0</v>
      </c>
    </row>
    <row r="844" spans="1:24" s="13" customFormat="1" ht="40.5" customHeight="1">
      <c r="A844" s="255" t="s">
        <v>231</v>
      </c>
      <c r="B844" s="47"/>
      <c r="C844" s="48" t="s">
        <v>170</v>
      </c>
      <c r="D844" s="48" t="s">
        <v>168</v>
      </c>
      <c r="E844" s="49" t="s">
        <v>16</v>
      </c>
      <c r="F844" s="56"/>
      <c r="G844" s="62">
        <f>G846</f>
        <v>39518</v>
      </c>
      <c r="H844" s="31"/>
      <c r="I844" s="31"/>
      <c r="J844" s="31"/>
      <c r="K844" s="31"/>
      <c r="L844" s="31"/>
      <c r="M844" s="31"/>
      <c r="N844" s="31"/>
      <c r="O844" s="31"/>
      <c r="P844" s="31"/>
      <c r="Q844" s="32"/>
      <c r="R844" s="31"/>
      <c r="S844" s="31"/>
      <c r="T844" s="31"/>
      <c r="U844" s="31"/>
      <c r="V844" s="31"/>
      <c r="W844" s="62">
        <f>W846</f>
        <v>39518</v>
      </c>
      <c r="X844" s="62">
        <f>X846</f>
        <v>0</v>
      </c>
    </row>
    <row r="845" spans="1:24" s="13" customFormat="1" ht="15.75">
      <c r="A845" s="237" t="s">
        <v>226</v>
      </c>
      <c r="B845" s="47"/>
      <c r="C845" s="48" t="s">
        <v>170</v>
      </c>
      <c r="D845" s="48" t="s">
        <v>168</v>
      </c>
      <c r="E845" s="49" t="s">
        <v>16</v>
      </c>
      <c r="F845" s="56" t="s">
        <v>188</v>
      </c>
      <c r="G845" s="62">
        <f>G846</f>
        <v>39518</v>
      </c>
      <c r="H845" s="31"/>
      <c r="I845" s="31"/>
      <c r="J845" s="31"/>
      <c r="K845" s="31"/>
      <c r="L845" s="31"/>
      <c r="M845" s="31"/>
      <c r="N845" s="31"/>
      <c r="O845" s="31"/>
      <c r="P845" s="31"/>
      <c r="Q845" s="32"/>
      <c r="R845" s="31"/>
      <c r="S845" s="31"/>
      <c r="T845" s="31"/>
      <c r="U845" s="31"/>
      <c r="V845" s="31"/>
      <c r="W845" s="62">
        <f>W846</f>
        <v>39518</v>
      </c>
      <c r="X845" s="62">
        <f>X846</f>
        <v>0</v>
      </c>
    </row>
    <row r="846" spans="1:24" s="13" customFormat="1" ht="15.75">
      <c r="A846" s="237" t="s">
        <v>189</v>
      </c>
      <c r="B846" s="47"/>
      <c r="C846" s="48" t="s">
        <v>170</v>
      </c>
      <c r="D846" s="48" t="s">
        <v>168</v>
      </c>
      <c r="E846" s="49" t="s">
        <v>16</v>
      </c>
      <c r="F846" s="56" t="s">
        <v>187</v>
      </c>
      <c r="G846" s="62">
        <f>37783.8+1734.2</f>
        <v>39518</v>
      </c>
      <c r="H846" s="31"/>
      <c r="I846" s="31"/>
      <c r="J846" s="31"/>
      <c r="K846" s="31"/>
      <c r="L846" s="31"/>
      <c r="M846" s="31"/>
      <c r="N846" s="31"/>
      <c r="O846" s="31"/>
      <c r="P846" s="31"/>
      <c r="Q846" s="32"/>
      <c r="R846" s="31"/>
      <c r="S846" s="31"/>
      <c r="T846" s="31"/>
      <c r="U846" s="31"/>
      <c r="V846" s="31"/>
      <c r="W846" s="62">
        <f>37783.8+1734.2</f>
        <v>39518</v>
      </c>
      <c r="X846" s="62">
        <f>G846-W846</f>
        <v>0</v>
      </c>
    </row>
    <row r="847" spans="1:24" s="13" customFormat="1" ht="27.75" customHeight="1">
      <c r="A847" s="255" t="s">
        <v>504</v>
      </c>
      <c r="B847" s="47"/>
      <c r="C847" s="48" t="s">
        <v>170</v>
      </c>
      <c r="D847" s="48" t="s">
        <v>168</v>
      </c>
      <c r="E847" s="56" t="s">
        <v>505</v>
      </c>
      <c r="F847" s="56"/>
      <c r="G847" s="62">
        <f>G848</f>
        <v>500</v>
      </c>
      <c r="H847" s="31"/>
      <c r="I847" s="31"/>
      <c r="J847" s="31"/>
      <c r="K847" s="31"/>
      <c r="L847" s="31"/>
      <c r="M847" s="31"/>
      <c r="N847" s="31"/>
      <c r="O847" s="31"/>
      <c r="P847" s="31"/>
      <c r="Q847" s="32"/>
      <c r="R847" s="31"/>
      <c r="S847" s="31"/>
      <c r="T847" s="31"/>
      <c r="U847" s="31"/>
      <c r="V847" s="31"/>
      <c r="W847" s="62">
        <f>W848</f>
        <v>500</v>
      </c>
      <c r="X847" s="62">
        <f>X848</f>
        <v>0</v>
      </c>
    </row>
    <row r="848" spans="1:24" s="13" customFormat="1" ht="15.75">
      <c r="A848" s="237" t="s">
        <v>226</v>
      </c>
      <c r="B848" s="47"/>
      <c r="C848" s="48" t="s">
        <v>170</v>
      </c>
      <c r="D848" s="48" t="s">
        <v>168</v>
      </c>
      <c r="E848" s="56" t="s">
        <v>505</v>
      </c>
      <c r="F848" s="56" t="s">
        <v>188</v>
      </c>
      <c r="G848" s="62">
        <f>G849</f>
        <v>500</v>
      </c>
      <c r="H848" s="31"/>
      <c r="I848" s="31"/>
      <c r="J848" s="31"/>
      <c r="K848" s="31"/>
      <c r="L848" s="31"/>
      <c r="M848" s="31"/>
      <c r="N848" s="31"/>
      <c r="O848" s="31"/>
      <c r="P848" s="31"/>
      <c r="Q848" s="32"/>
      <c r="R848" s="31"/>
      <c r="S848" s="31"/>
      <c r="T848" s="31"/>
      <c r="U848" s="31"/>
      <c r="V848" s="31"/>
      <c r="W848" s="62">
        <f>W849</f>
        <v>500</v>
      </c>
      <c r="X848" s="62">
        <f>X849</f>
        <v>0</v>
      </c>
    </row>
    <row r="849" spans="1:24" s="13" customFormat="1" ht="15.75">
      <c r="A849" s="237" t="s">
        <v>189</v>
      </c>
      <c r="B849" s="47"/>
      <c r="C849" s="48" t="s">
        <v>170</v>
      </c>
      <c r="D849" s="48" t="s">
        <v>168</v>
      </c>
      <c r="E849" s="56" t="s">
        <v>505</v>
      </c>
      <c r="F849" s="56" t="s">
        <v>187</v>
      </c>
      <c r="G849" s="62">
        <v>500</v>
      </c>
      <c r="H849" s="31"/>
      <c r="I849" s="31"/>
      <c r="J849" s="31"/>
      <c r="K849" s="31"/>
      <c r="L849" s="31"/>
      <c r="M849" s="31"/>
      <c r="N849" s="31"/>
      <c r="O849" s="31"/>
      <c r="P849" s="31"/>
      <c r="Q849" s="34"/>
      <c r="R849" s="31"/>
      <c r="S849" s="31"/>
      <c r="T849" s="31"/>
      <c r="U849" s="31"/>
      <c r="V849" s="31"/>
      <c r="W849" s="62">
        <v>500</v>
      </c>
      <c r="X849" s="62">
        <f>G849-W849</f>
        <v>0</v>
      </c>
    </row>
    <row r="850" spans="1:24" s="13" customFormat="1" ht="15.75">
      <c r="A850" s="234" t="s">
        <v>144</v>
      </c>
      <c r="B850" s="47"/>
      <c r="C850" s="45" t="s">
        <v>172</v>
      </c>
      <c r="D850" s="299" t="s">
        <v>175</v>
      </c>
      <c r="E850" s="298" t="s">
        <v>175</v>
      </c>
      <c r="F850" s="299" t="s">
        <v>175</v>
      </c>
      <c r="G850" s="58">
        <f>G851+G861+G899+G925</f>
        <v>94019.54000000001</v>
      </c>
      <c r="H850" s="58">
        <f aca="true" t="shared" si="51" ref="H850:X850">H851+H861+H899+H925</f>
        <v>0</v>
      </c>
      <c r="I850" s="58">
        <f t="shared" si="51"/>
        <v>0</v>
      </c>
      <c r="J850" s="58">
        <f t="shared" si="51"/>
        <v>0</v>
      </c>
      <c r="K850" s="58">
        <f t="shared" si="51"/>
        <v>0</v>
      </c>
      <c r="L850" s="58">
        <f t="shared" si="51"/>
        <v>0</v>
      </c>
      <c r="M850" s="58">
        <f t="shared" si="51"/>
        <v>0</v>
      </c>
      <c r="N850" s="58">
        <f t="shared" si="51"/>
        <v>0</v>
      </c>
      <c r="O850" s="58">
        <f t="shared" si="51"/>
        <v>0</v>
      </c>
      <c r="P850" s="58">
        <f t="shared" si="51"/>
        <v>0</v>
      </c>
      <c r="Q850" s="58">
        <f t="shared" si="51"/>
        <v>0</v>
      </c>
      <c r="R850" s="58">
        <f t="shared" si="51"/>
        <v>0</v>
      </c>
      <c r="S850" s="58">
        <f t="shared" si="51"/>
        <v>0</v>
      </c>
      <c r="T850" s="58">
        <f t="shared" si="51"/>
        <v>0</v>
      </c>
      <c r="U850" s="58">
        <f t="shared" si="51"/>
        <v>0</v>
      </c>
      <c r="V850" s="58">
        <f t="shared" si="51"/>
        <v>0</v>
      </c>
      <c r="W850" s="58">
        <f t="shared" si="51"/>
        <v>92382.84</v>
      </c>
      <c r="X850" s="58">
        <f t="shared" si="51"/>
        <v>1636.6999999999998</v>
      </c>
    </row>
    <row r="851" spans="1:24" s="13" customFormat="1" ht="15.75">
      <c r="A851" s="252" t="s">
        <v>208</v>
      </c>
      <c r="B851" s="51"/>
      <c r="C851" s="45" t="s">
        <v>172</v>
      </c>
      <c r="D851" s="45" t="s">
        <v>157</v>
      </c>
      <c r="E851" s="52"/>
      <c r="F851" s="57"/>
      <c r="G851" s="58">
        <f>G852+G857</f>
        <v>4115</v>
      </c>
      <c r="H851" s="31"/>
      <c r="I851" s="31"/>
      <c r="J851" s="31"/>
      <c r="K851" s="31"/>
      <c r="L851" s="31"/>
      <c r="M851" s="31"/>
      <c r="N851" s="31"/>
      <c r="O851" s="31"/>
      <c r="P851" s="31"/>
      <c r="Q851" s="32"/>
      <c r="R851" s="31"/>
      <c r="S851" s="31"/>
      <c r="T851" s="31"/>
      <c r="U851" s="31"/>
      <c r="V851" s="31"/>
      <c r="W851" s="58">
        <f>W852+W857</f>
        <v>4115</v>
      </c>
      <c r="X851" s="58">
        <f>X852+X857</f>
        <v>0</v>
      </c>
    </row>
    <row r="852" spans="1:24" s="13" customFormat="1" ht="28.5" customHeight="1">
      <c r="A852" s="252" t="s">
        <v>443</v>
      </c>
      <c r="B852" s="54"/>
      <c r="C852" s="45" t="s">
        <v>172</v>
      </c>
      <c r="D852" s="45" t="s">
        <v>157</v>
      </c>
      <c r="E852" s="52" t="s">
        <v>0</v>
      </c>
      <c r="F852" s="57"/>
      <c r="G852" s="58">
        <f>G853</f>
        <v>2115</v>
      </c>
      <c r="H852" s="31"/>
      <c r="I852" s="31"/>
      <c r="J852" s="31"/>
      <c r="K852" s="31"/>
      <c r="L852" s="31"/>
      <c r="M852" s="31"/>
      <c r="N852" s="31"/>
      <c r="O852" s="31"/>
      <c r="P852" s="31"/>
      <c r="Q852" s="32"/>
      <c r="R852" s="31"/>
      <c r="S852" s="31"/>
      <c r="T852" s="31"/>
      <c r="U852" s="31"/>
      <c r="V852" s="31"/>
      <c r="W852" s="58">
        <f aca="true" t="shared" si="52" ref="W852:X855">W853</f>
        <v>2115</v>
      </c>
      <c r="X852" s="58">
        <f t="shared" si="52"/>
        <v>0</v>
      </c>
    </row>
    <row r="853" spans="1:24" s="13" customFormat="1" ht="29.25" customHeight="1">
      <c r="A853" s="252" t="s">
        <v>591</v>
      </c>
      <c r="B853" s="54"/>
      <c r="C853" s="45" t="s">
        <v>172</v>
      </c>
      <c r="D853" s="45" t="s">
        <v>157</v>
      </c>
      <c r="E853" s="52" t="s">
        <v>1</v>
      </c>
      <c r="F853" s="57"/>
      <c r="G853" s="58">
        <f>G854</f>
        <v>2115</v>
      </c>
      <c r="H853" s="31"/>
      <c r="I853" s="31"/>
      <c r="J853" s="31"/>
      <c r="K853" s="31"/>
      <c r="L853" s="31"/>
      <c r="M853" s="31"/>
      <c r="N853" s="31"/>
      <c r="O853" s="31"/>
      <c r="P853" s="31"/>
      <c r="Q853" s="32"/>
      <c r="R853" s="31"/>
      <c r="S853" s="31"/>
      <c r="T853" s="31"/>
      <c r="U853" s="31"/>
      <c r="V853" s="31"/>
      <c r="W853" s="58">
        <f t="shared" si="52"/>
        <v>2115</v>
      </c>
      <c r="X853" s="58">
        <f t="shared" si="52"/>
        <v>0</v>
      </c>
    </row>
    <row r="854" spans="1:24" s="13" customFormat="1" ht="15.75">
      <c r="A854" s="238" t="s">
        <v>444</v>
      </c>
      <c r="B854" s="55"/>
      <c r="C854" s="48" t="s">
        <v>172</v>
      </c>
      <c r="D854" s="48" t="s">
        <v>157</v>
      </c>
      <c r="E854" s="49" t="s">
        <v>2</v>
      </c>
      <c r="F854" s="56"/>
      <c r="G854" s="62">
        <f>G855</f>
        <v>2115</v>
      </c>
      <c r="H854" s="31"/>
      <c r="I854" s="31"/>
      <c r="J854" s="31"/>
      <c r="K854" s="31"/>
      <c r="L854" s="31"/>
      <c r="M854" s="31"/>
      <c r="N854" s="31"/>
      <c r="O854" s="31"/>
      <c r="P854" s="31"/>
      <c r="Q854" s="32"/>
      <c r="R854" s="31"/>
      <c r="S854" s="31"/>
      <c r="T854" s="31"/>
      <c r="U854" s="31"/>
      <c r="V854" s="31"/>
      <c r="W854" s="62">
        <f t="shared" si="52"/>
        <v>2115</v>
      </c>
      <c r="X854" s="62">
        <f t="shared" si="52"/>
        <v>0</v>
      </c>
    </row>
    <row r="855" spans="1:24" s="13" customFormat="1" ht="19.5" customHeight="1">
      <c r="A855" s="237" t="s">
        <v>226</v>
      </c>
      <c r="B855" s="55"/>
      <c r="C855" s="48" t="s">
        <v>172</v>
      </c>
      <c r="D855" s="48" t="s">
        <v>157</v>
      </c>
      <c r="E855" s="49" t="s">
        <v>2</v>
      </c>
      <c r="F855" s="56" t="s">
        <v>188</v>
      </c>
      <c r="G855" s="62">
        <f>G856</f>
        <v>2115</v>
      </c>
      <c r="H855" s="31"/>
      <c r="I855" s="31"/>
      <c r="J855" s="31"/>
      <c r="K855" s="31"/>
      <c r="L855" s="31"/>
      <c r="M855" s="31"/>
      <c r="N855" s="31"/>
      <c r="O855" s="31"/>
      <c r="P855" s="31"/>
      <c r="Q855" s="32"/>
      <c r="R855" s="31"/>
      <c r="S855" s="31"/>
      <c r="T855" s="31"/>
      <c r="U855" s="31"/>
      <c r="V855" s="31"/>
      <c r="W855" s="62">
        <f t="shared" si="52"/>
        <v>2115</v>
      </c>
      <c r="X855" s="62">
        <f t="shared" si="52"/>
        <v>0</v>
      </c>
    </row>
    <row r="856" spans="1:24" s="13" customFormat="1" ht="15.75">
      <c r="A856" s="282" t="s">
        <v>189</v>
      </c>
      <c r="B856" s="55"/>
      <c r="C856" s="48" t="s">
        <v>172</v>
      </c>
      <c r="D856" s="48" t="s">
        <v>157</v>
      </c>
      <c r="E856" s="49" t="s">
        <v>2</v>
      </c>
      <c r="F856" s="56" t="s">
        <v>187</v>
      </c>
      <c r="G856" s="62">
        <v>2115</v>
      </c>
      <c r="H856" s="31"/>
      <c r="I856" s="31"/>
      <c r="J856" s="31"/>
      <c r="K856" s="31"/>
      <c r="L856" s="31"/>
      <c r="M856" s="31"/>
      <c r="N856" s="31"/>
      <c r="O856" s="31"/>
      <c r="P856" s="31"/>
      <c r="Q856" s="32"/>
      <c r="R856" s="31"/>
      <c r="S856" s="31"/>
      <c r="T856" s="31"/>
      <c r="U856" s="31"/>
      <c r="V856" s="31"/>
      <c r="W856" s="62">
        <v>2115</v>
      </c>
      <c r="X856" s="62">
        <f>G856-W856</f>
        <v>0</v>
      </c>
    </row>
    <row r="857" spans="1:24" s="13" customFormat="1" ht="31.5">
      <c r="A857" s="252" t="s">
        <v>438</v>
      </c>
      <c r="B857" s="54"/>
      <c r="C857" s="45" t="s">
        <v>172</v>
      </c>
      <c r="D857" s="45" t="s">
        <v>157</v>
      </c>
      <c r="E857" s="52" t="s">
        <v>323</v>
      </c>
      <c r="F857" s="57"/>
      <c r="G857" s="58">
        <f>G858</f>
        <v>2000</v>
      </c>
      <c r="H857" s="31"/>
      <c r="I857" s="31"/>
      <c r="J857" s="31"/>
      <c r="K857" s="31"/>
      <c r="L857" s="31"/>
      <c r="M857" s="31"/>
      <c r="N857" s="31"/>
      <c r="O857" s="31"/>
      <c r="P857" s="31"/>
      <c r="Q857" s="32"/>
      <c r="R857" s="31"/>
      <c r="S857" s="31"/>
      <c r="T857" s="31"/>
      <c r="U857" s="31"/>
      <c r="V857" s="31"/>
      <c r="W857" s="58">
        <f aca="true" t="shared" si="53" ref="W857:X859">W858</f>
        <v>2000</v>
      </c>
      <c r="X857" s="58">
        <f t="shared" si="53"/>
        <v>0</v>
      </c>
    </row>
    <row r="858" spans="1:24" s="13" customFormat="1" ht="15.75">
      <c r="A858" s="238" t="s">
        <v>232</v>
      </c>
      <c r="B858" s="55"/>
      <c r="C858" s="48" t="s">
        <v>172</v>
      </c>
      <c r="D858" s="48" t="s">
        <v>157</v>
      </c>
      <c r="E858" s="49" t="s">
        <v>622</v>
      </c>
      <c r="F858" s="56"/>
      <c r="G858" s="62">
        <f>G859</f>
        <v>2000</v>
      </c>
      <c r="H858" s="31"/>
      <c r="I858" s="31"/>
      <c r="J858" s="31"/>
      <c r="K858" s="31"/>
      <c r="L858" s="31"/>
      <c r="M858" s="31"/>
      <c r="N858" s="31"/>
      <c r="O858" s="31"/>
      <c r="P858" s="31"/>
      <c r="Q858" s="32"/>
      <c r="R858" s="31"/>
      <c r="S858" s="31"/>
      <c r="T858" s="31"/>
      <c r="U858" s="31"/>
      <c r="V858" s="31"/>
      <c r="W858" s="62">
        <f t="shared" si="53"/>
        <v>2000</v>
      </c>
      <c r="X858" s="62">
        <f t="shared" si="53"/>
        <v>0</v>
      </c>
    </row>
    <row r="859" spans="1:24" s="13" customFormat="1" ht="15.75">
      <c r="A859" s="163" t="s">
        <v>227</v>
      </c>
      <c r="B859" s="55"/>
      <c r="C859" s="48" t="s">
        <v>172</v>
      </c>
      <c r="D859" s="48" t="s">
        <v>157</v>
      </c>
      <c r="E859" s="49" t="s">
        <v>622</v>
      </c>
      <c r="F859" s="56" t="s">
        <v>199</v>
      </c>
      <c r="G859" s="62">
        <f>G860</f>
        <v>2000</v>
      </c>
      <c r="H859" s="31"/>
      <c r="I859" s="31"/>
      <c r="J859" s="31"/>
      <c r="K859" s="31"/>
      <c r="L859" s="31"/>
      <c r="M859" s="31"/>
      <c r="N859" s="31"/>
      <c r="O859" s="31"/>
      <c r="P859" s="31"/>
      <c r="Q859" s="32"/>
      <c r="R859" s="31"/>
      <c r="S859" s="31"/>
      <c r="T859" s="31"/>
      <c r="U859" s="31"/>
      <c r="V859" s="31"/>
      <c r="W859" s="62">
        <f t="shared" si="53"/>
        <v>2000</v>
      </c>
      <c r="X859" s="62">
        <f t="shared" si="53"/>
        <v>0</v>
      </c>
    </row>
    <row r="860" spans="1:24" s="13" customFormat="1" ht="15.75">
      <c r="A860" s="271" t="s">
        <v>179</v>
      </c>
      <c r="B860" s="55"/>
      <c r="C860" s="48" t="s">
        <v>172</v>
      </c>
      <c r="D860" s="48" t="s">
        <v>157</v>
      </c>
      <c r="E860" s="49" t="s">
        <v>622</v>
      </c>
      <c r="F860" s="56" t="s">
        <v>200</v>
      </c>
      <c r="G860" s="62">
        <v>2000</v>
      </c>
      <c r="H860" s="31"/>
      <c r="I860" s="31"/>
      <c r="J860" s="31"/>
      <c r="K860" s="31"/>
      <c r="L860" s="31"/>
      <c r="M860" s="31"/>
      <c r="N860" s="31"/>
      <c r="O860" s="31"/>
      <c r="P860" s="31"/>
      <c r="Q860" s="32"/>
      <c r="R860" s="31"/>
      <c r="S860" s="31"/>
      <c r="T860" s="31"/>
      <c r="U860" s="31"/>
      <c r="V860" s="31"/>
      <c r="W860" s="62">
        <v>2000</v>
      </c>
      <c r="X860" s="62">
        <f>G860-W860</f>
        <v>0</v>
      </c>
    </row>
    <row r="861" spans="1:24" s="13" customFormat="1" ht="15.75">
      <c r="A861" s="252" t="s">
        <v>386</v>
      </c>
      <c r="B861" s="51"/>
      <c r="C861" s="45" t="s">
        <v>172</v>
      </c>
      <c r="D861" s="45" t="s">
        <v>171</v>
      </c>
      <c r="E861" s="52"/>
      <c r="F861" s="57"/>
      <c r="G861" s="58">
        <f>G862+G878+G882</f>
        <v>30127.5</v>
      </c>
      <c r="H861" s="31"/>
      <c r="I861" s="31"/>
      <c r="J861" s="31"/>
      <c r="K861" s="31"/>
      <c r="L861" s="31"/>
      <c r="M861" s="31"/>
      <c r="N861" s="31"/>
      <c r="O861" s="31"/>
      <c r="P861" s="31"/>
      <c r="Q861" s="32"/>
      <c r="R861" s="31"/>
      <c r="S861" s="31"/>
      <c r="T861" s="31"/>
      <c r="U861" s="31"/>
      <c r="V861" s="31"/>
      <c r="W861" s="58">
        <f>W862+W878+W882</f>
        <v>30790.800000000003</v>
      </c>
      <c r="X861" s="58">
        <f>X862+X878+X882</f>
        <v>-663.3000000000002</v>
      </c>
    </row>
    <row r="862" spans="1:24" s="13" customFormat="1" ht="15.75">
      <c r="A862" s="242" t="s">
        <v>445</v>
      </c>
      <c r="B862" s="51"/>
      <c r="C862" s="45" t="s">
        <v>172</v>
      </c>
      <c r="D862" s="45" t="s">
        <v>171</v>
      </c>
      <c r="E862" s="52" t="s">
        <v>6</v>
      </c>
      <c r="F862" s="57"/>
      <c r="G862" s="58">
        <f>G869+G875+G863+G872+G866</f>
        <v>18442.6</v>
      </c>
      <c r="H862" s="58">
        <f aca="true" t="shared" si="54" ref="H862:X862">H869+H875+H863+H872+H866</f>
        <v>0</v>
      </c>
      <c r="I862" s="58">
        <f t="shared" si="54"/>
        <v>0</v>
      </c>
      <c r="J862" s="58">
        <f t="shared" si="54"/>
        <v>0</v>
      </c>
      <c r="K862" s="58">
        <f t="shared" si="54"/>
        <v>0</v>
      </c>
      <c r="L862" s="58">
        <f t="shared" si="54"/>
        <v>0</v>
      </c>
      <c r="M862" s="58">
        <f t="shared" si="54"/>
        <v>0</v>
      </c>
      <c r="N862" s="58">
        <f t="shared" si="54"/>
        <v>0</v>
      </c>
      <c r="O862" s="58">
        <f t="shared" si="54"/>
        <v>0</v>
      </c>
      <c r="P862" s="58">
        <f t="shared" si="54"/>
        <v>0</v>
      </c>
      <c r="Q862" s="58">
        <f t="shared" si="54"/>
        <v>0</v>
      </c>
      <c r="R862" s="58">
        <f t="shared" si="54"/>
        <v>0</v>
      </c>
      <c r="S862" s="58">
        <f t="shared" si="54"/>
        <v>0</v>
      </c>
      <c r="T862" s="58">
        <f t="shared" si="54"/>
        <v>0</v>
      </c>
      <c r="U862" s="58">
        <f t="shared" si="54"/>
        <v>0</v>
      </c>
      <c r="V862" s="58">
        <f t="shared" si="54"/>
        <v>0</v>
      </c>
      <c r="W862" s="58">
        <f>W869+W875+W863+W872+W866</f>
        <v>19105.9</v>
      </c>
      <c r="X862" s="58">
        <f t="shared" si="54"/>
        <v>-663.3000000000002</v>
      </c>
    </row>
    <row r="863" spans="1:24" s="13" customFormat="1" ht="15.75" customHeight="1">
      <c r="A863" s="238" t="s">
        <v>232</v>
      </c>
      <c r="B863" s="47"/>
      <c r="C863" s="48" t="s">
        <v>172</v>
      </c>
      <c r="D863" s="48" t="s">
        <v>171</v>
      </c>
      <c r="E863" s="49" t="s">
        <v>689</v>
      </c>
      <c r="F863" s="56"/>
      <c r="G863" s="62">
        <f>G864</f>
        <v>5557.1</v>
      </c>
      <c r="H863" s="31"/>
      <c r="I863" s="31"/>
      <c r="J863" s="31"/>
      <c r="K863" s="31"/>
      <c r="L863" s="31"/>
      <c r="M863" s="31"/>
      <c r="N863" s="31"/>
      <c r="O863" s="31"/>
      <c r="P863" s="31"/>
      <c r="Q863" s="32"/>
      <c r="R863" s="31"/>
      <c r="S863" s="31"/>
      <c r="T863" s="31"/>
      <c r="U863" s="31"/>
      <c r="V863" s="31"/>
      <c r="W863" s="62">
        <f>W864</f>
        <v>5557.1</v>
      </c>
      <c r="X863" s="62">
        <f>X864</f>
        <v>0</v>
      </c>
    </row>
    <row r="864" spans="1:24" s="13" customFormat="1" ht="15.75">
      <c r="A864" s="237" t="s">
        <v>226</v>
      </c>
      <c r="B864" s="47"/>
      <c r="C864" s="48" t="s">
        <v>172</v>
      </c>
      <c r="D864" s="48" t="s">
        <v>171</v>
      </c>
      <c r="E864" s="49" t="s">
        <v>689</v>
      </c>
      <c r="F864" s="56" t="s">
        <v>188</v>
      </c>
      <c r="G864" s="62">
        <f>G865</f>
        <v>5557.1</v>
      </c>
      <c r="H864" s="31"/>
      <c r="I864" s="31"/>
      <c r="J864" s="31"/>
      <c r="K864" s="31"/>
      <c r="L864" s="31"/>
      <c r="M864" s="31"/>
      <c r="N864" s="31"/>
      <c r="O864" s="31"/>
      <c r="P864" s="31"/>
      <c r="Q864" s="32"/>
      <c r="R864" s="31"/>
      <c r="S864" s="31"/>
      <c r="T864" s="31"/>
      <c r="U864" s="31"/>
      <c r="V864" s="31"/>
      <c r="W864" s="62">
        <f>W865</f>
        <v>5557.1</v>
      </c>
      <c r="X864" s="62">
        <f>X865</f>
        <v>0</v>
      </c>
    </row>
    <row r="865" spans="1:24" s="13" customFormat="1" ht="15.75">
      <c r="A865" s="282" t="s">
        <v>189</v>
      </c>
      <c r="B865" s="47"/>
      <c r="C865" s="48" t="s">
        <v>172</v>
      </c>
      <c r="D865" s="48" t="s">
        <v>171</v>
      </c>
      <c r="E865" s="49" t="s">
        <v>689</v>
      </c>
      <c r="F865" s="56" t="s">
        <v>187</v>
      </c>
      <c r="G865" s="102">
        <f>2818.1+2739</f>
        <v>5557.1</v>
      </c>
      <c r="H865" s="31"/>
      <c r="I865" s="31"/>
      <c r="J865" s="31"/>
      <c r="K865" s="31"/>
      <c r="L865" s="31"/>
      <c r="M865" s="31"/>
      <c r="N865" s="31"/>
      <c r="O865" s="31"/>
      <c r="P865" s="31"/>
      <c r="Q865" s="32"/>
      <c r="R865" s="31"/>
      <c r="S865" s="31"/>
      <c r="T865" s="31"/>
      <c r="U865" s="31"/>
      <c r="V865" s="31"/>
      <c r="W865" s="102">
        <f>2818.1+2739</f>
        <v>5557.1</v>
      </c>
      <c r="X865" s="62">
        <f>G865-W865</f>
        <v>0</v>
      </c>
    </row>
    <row r="866" spans="1:24" s="13" customFormat="1" ht="15.75" customHeight="1">
      <c r="A866" s="238" t="s">
        <v>697</v>
      </c>
      <c r="B866" s="47"/>
      <c r="C866" s="48" t="s">
        <v>172</v>
      </c>
      <c r="D866" s="48" t="s">
        <v>171</v>
      </c>
      <c r="E866" s="49" t="s">
        <v>696</v>
      </c>
      <c r="F866" s="56"/>
      <c r="G866" s="62">
        <f>G867</f>
        <v>54</v>
      </c>
      <c r="H866" s="31"/>
      <c r="I866" s="31"/>
      <c r="J866" s="31"/>
      <c r="K866" s="31"/>
      <c r="L866" s="31"/>
      <c r="M866" s="31"/>
      <c r="N866" s="31"/>
      <c r="O866" s="31"/>
      <c r="P866" s="31"/>
      <c r="Q866" s="32"/>
      <c r="R866" s="31"/>
      <c r="S866" s="31"/>
      <c r="T866" s="31"/>
      <c r="U866" s="31"/>
      <c r="V866" s="31"/>
      <c r="W866" s="62">
        <f>W867</f>
        <v>54</v>
      </c>
      <c r="X866" s="62">
        <f>X867</f>
        <v>0</v>
      </c>
    </row>
    <row r="867" spans="1:24" s="13" customFormat="1" ht="15.75">
      <c r="A867" s="237" t="s">
        <v>226</v>
      </c>
      <c r="B867" s="47"/>
      <c r="C867" s="48" t="s">
        <v>172</v>
      </c>
      <c r="D867" s="48" t="s">
        <v>171</v>
      </c>
      <c r="E867" s="49" t="s">
        <v>696</v>
      </c>
      <c r="F867" s="56" t="s">
        <v>199</v>
      </c>
      <c r="G867" s="62">
        <f>G868</f>
        <v>54</v>
      </c>
      <c r="H867" s="31"/>
      <c r="I867" s="31"/>
      <c r="J867" s="31"/>
      <c r="K867" s="31"/>
      <c r="L867" s="31"/>
      <c r="M867" s="31"/>
      <c r="N867" s="31"/>
      <c r="O867" s="31"/>
      <c r="P867" s="31"/>
      <c r="Q867" s="32"/>
      <c r="R867" s="31"/>
      <c r="S867" s="31"/>
      <c r="T867" s="31"/>
      <c r="U867" s="31"/>
      <c r="V867" s="31"/>
      <c r="W867" s="62">
        <f>W868</f>
        <v>54</v>
      </c>
      <c r="X867" s="62">
        <f>X868</f>
        <v>0</v>
      </c>
    </row>
    <row r="868" spans="1:24" s="13" customFormat="1" ht="15.75">
      <c r="A868" s="282" t="s">
        <v>189</v>
      </c>
      <c r="B868" s="47"/>
      <c r="C868" s="48" t="s">
        <v>172</v>
      </c>
      <c r="D868" s="48" t="s">
        <v>171</v>
      </c>
      <c r="E868" s="49" t="s">
        <v>696</v>
      </c>
      <c r="F868" s="56" t="s">
        <v>200</v>
      </c>
      <c r="G868" s="102">
        <v>54</v>
      </c>
      <c r="H868" s="31"/>
      <c r="I868" s="31"/>
      <c r="J868" s="31"/>
      <c r="K868" s="31"/>
      <c r="L868" s="31"/>
      <c r="M868" s="31"/>
      <c r="N868" s="31"/>
      <c r="O868" s="31"/>
      <c r="P868" s="31"/>
      <c r="Q868" s="32"/>
      <c r="R868" s="31"/>
      <c r="S868" s="31"/>
      <c r="T868" s="31"/>
      <c r="U868" s="31"/>
      <c r="V868" s="31"/>
      <c r="W868" s="102">
        <v>54</v>
      </c>
      <c r="X868" s="62">
        <f>G868-W868</f>
        <v>0</v>
      </c>
    </row>
    <row r="869" spans="1:24" s="13" customFormat="1" ht="15.75" customHeight="1">
      <c r="A869" s="238" t="s">
        <v>499</v>
      </c>
      <c r="B869" s="47"/>
      <c r="C869" s="48" t="s">
        <v>172</v>
      </c>
      <c r="D869" s="48" t="s">
        <v>171</v>
      </c>
      <c r="E869" s="49" t="s">
        <v>498</v>
      </c>
      <c r="F869" s="56"/>
      <c r="G869" s="62">
        <f>G870</f>
        <v>4600</v>
      </c>
      <c r="H869" s="31"/>
      <c r="I869" s="31"/>
      <c r="J869" s="31"/>
      <c r="K869" s="31"/>
      <c r="L869" s="31"/>
      <c r="M869" s="31"/>
      <c r="N869" s="31"/>
      <c r="O869" s="31"/>
      <c r="P869" s="31"/>
      <c r="Q869" s="32"/>
      <c r="R869" s="31"/>
      <c r="S869" s="31"/>
      <c r="T869" s="31"/>
      <c r="U869" s="31"/>
      <c r="V869" s="31"/>
      <c r="W869" s="62">
        <f>W870</f>
        <v>4600</v>
      </c>
      <c r="X869" s="62">
        <f>X870</f>
        <v>0</v>
      </c>
    </row>
    <row r="870" spans="1:24" s="13" customFormat="1" ht="15.75">
      <c r="A870" s="163" t="s">
        <v>227</v>
      </c>
      <c r="B870" s="47"/>
      <c r="C870" s="48" t="s">
        <v>172</v>
      </c>
      <c r="D870" s="48" t="s">
        <v>171</v>
      </c>
      <c r="E870" s="49" t="s">
        <v>498</v>
      </c>
      <c r="F870" s="56" t="s">
        <v>199</v>
      </c>
      <c r="G870" s="62">
        <f>G871</f>
        <v>4600</v>
      </c>
      <c r="H870" s="31"/>
      <c r="I870" s="31"/>
      <c r="J870" s="31"/>
      <c r="K870" s="31"/>
      <c r="L870" s="31"/>
      <c r="M870" s="31"/>
      <c r="N870" s="31"/>
      <c r="O870" s="31"/>
      <c r="P870" s="31"/>
      <c r="Q870" s="32"/>
      <c r="R870" s="31"/>
      <c r="S870" s="31"/>
      <c r="T870" s="31"/>
      <c r="U870" s="31"/>
      <c r="V870" s="31"/>
      <c r="W870" s="62">
        <f>W871</f>
        <v>4600</v>
      </c>
      <c r="X870" s="62">
        <f>X871</f>
        <v>0</v>
      </c>
    </row>
    <row r="871" spans="1:24" s="13" customFormat="1" ht="15.75">
      <c r="A871" s="271" t="s">
        <v>179</v>
      </c>
      <c r="B871" s="47"/>
      <c r="C871" s="48" t="s">
        <v>172</v>
      </c>
      <c r="D871" s="48" t="s">
        <v>171</v>
      </c>
      <c r="E871" s="49" t="s">
        <v>498</v>
      </c>
      <c r="F871" s="56" t="s">
        <v>200</v>
      </c>
      <c r="G871" s="102">
        <f>4100+500</f>
        <v>4600</v>
      </c>
      <c r="H871" s="31"/>
      <c r="I871" s="31"/>
      <c r="J871" s="31"/>
      <c r="K871" s="31"/>
      <c r="L871" s="31"/>
      <c r="M871" s="31"/>
      <c r="N871" s="31"/>
      <c r="O871" s="31"/>
      <c r="P871" s="31"/>
      <c r="Q871" s="32"/>
      <c r="R871" s="31"/>
      <c r="S871" s="31"/>
      <c r="T871" s="31"/>
      <c r="U871" s="31"/>
      <c r="V871" s="31"/>
      <c r="W871" s="102">
        <f>4100+500</f>
        <v>4600</v>
      </c>
      <c r="X871" s="62">
        <f>G871-W871</f>
        <v>0</v>
      </c>
    </row>
    <row r="872" spans="1:24" s="13" customFormat="1" ht="34.5" customHeight="1">
      <c r="A872" s="238" t="s">
        <v>691</v>
      </c>
      <c r="B872" s="47"/>
      <c r="C872" s="48" t="s">
        <v>172</v>
      </c>
      <c r="D872" s="48" t="s">
        <v>171</v>
      </c>
      <c r="E872" s="49" t="s">
        <v>690</v>
      </c>
      <c r="F872" s="56"/>
      <c r="G872" s="62">
        <f>G873</f>
        <v>4209.5</v>
      </c>
      <c r="H872" s="31"/>
      <c r="I872" s="31"/>
      <c r="J872" s="31"/>
      <c r="K872" s="31"/>
      <c r="L872" s="31"/>
      <c r="M872" s="31"/>
      <c r="N872" s="31"/>
      <c r="O872" s="31"/>
      <c r="P872" s="31"/>
      <c r="Q872" s="32"/>
      <c r="R872" s="31"/>
      <c r="S872" s="31"/>
      <c r="T872" s="31"/>
      <c r="U872" s="31"/>
      <c r="V872" s="31"/>
      <c r="W872" s="62">
        <f>W873</f>
        <v>4872.8</v>
      </c>
      <c r="X872" s="62">
        <f>X873</f>
        <v>-663.3000000000002</v>
      </c>
    </row>
    <row r="873" spans="1:24" s="13" customFormat="1" ht="15.75">
      <c r="A873" s="163" t="s">
        <v>227</v>
      </c>
      <c r="B873" s="47"/>
      <c r="C873" s="48" t="s">
        <v>172</v>
      </c>
      <c r="D873" s="48" t="s">
        <v>171</v>
      </c>
      <c r="E873" s="49" t="s">
        <v>690</v>
      </c>
      <c r="F873" s="56" t="s">
        <v>199</v>
      </c>
      <c r="G873" s="62">
        <f>G874</f>
        <v>4209.5</v>
      </c>
      <c r="H873" s="31"/>
      <c r="I873" s="31"/>
      <c r="J873" s="31"/>
      <c r="K873" s="31"/>
      <c r="L873" s="31"/>
      <c r="M873" s="31"/>
      <c r="N873" s="31"/>
      <c r="O873" s="31"/>
      <c r="P873" s="31"/>
      <c r="Q873" s="32"/>
      <c r="R873" s="31"/>
      <c r="S873" s="31"/>
      <c r="T873" s="31"/>
      <c r="U873" s="31"/>
      <c r="V873" s="31"/>
      <c r="W873" s="62">
        <f>W874</f>
        <v>4872.8</v>
      </c>
      <c r="X873" s="62">
        <f>X874</f>
        <v>-663.3000000000002</v>
      </c>
    </row>
    <row r="874" spans="1:24" s="13" customFormat="1" ht="15.75">
      <c r="A874" s="271" t="s">
        <v>179</v>
      </c>
      <c r="B874" s="47"/>
      <c r="C874" s="48" t="s">
        <v>172</v>
      </c>
      <c r="D874" s="48" t="s">
        <v>171</v>
      </c>
      <c r="E874" s="49" t="s">
        <v>690</v>
      </c>
      <c r="F874" s="56" t="s">
        <v>200</v>
      </c>
      <c r="G874" s="102">
        <f>4132.8+740-663.3</f>
        <v>4209.5</v>
      </c>
      <c r="H874" s="31"/>
      <c r="I874" s="31"/>
      <c r="J874" s="31"/>
      <c r="K874" s="31"/>
      <c r="L874" s="31"/>
      <c r="M874" s="31"/>
      <c r="N874" s="31"/>
      <c r="O874" s="31"/>
      <c r="P874" s="31"/>
      <c r="Q874" s="32"/>
      <c r="R874" s="31"/>
      <c r="S874" s="31"/>
      <c r="T874" s="31"/>
      <c r="U874" s="31"/>
      <c r="V874" s="31"/>
      <c r="W874" s="102">
        <f>4132.8+740</f>
        <v>4872.8</v>
      </c>
      <c r="X874" s="62">
        <f>G874-W874</f>
        <v>-663.3000000000002</v>
      </c>
    </row>
    <row r="875" spans="1:24" s="13" customFormat="1" ht="30.75" customHeight="1">
      <c r="A875" s="238" t="s">
        <v>497</v>
      </c>
      <c r="B875" s="47"/>
      <c r="C875" s="48" t="s">
        <v>172</v>
      </c>
      <c r="D875" s="48" t="s">
        <v>171</v>
      </c>
      <c r="E875" s="49" t="s">
        <v>496</v>
      </c>
      <c r="F875" s="56"/>
      <c r="G875" s="62">
        <f>G876</f>
        <v>4022</v>
      </c>
      <c r="H875" s="31"/>
      <c r="I875" s="31"/>
      <c r="J875" s="31"/>
      <c r="K875" s="31"/>
      <c r="L875" s="31"/>
      <c r="M875" s="31"/>
      <c r="N875" s="31"/>
      <c r="O875" s="31"/>
      <c r="P875" s="31"/>
      <c r="Q875" s="32"/>
      <c r="R875" s="31"/>
      <c r="S875" s="31"/>
      <c r="T875" s="31"/>
      <c r="U875" s="31"/>
      <c r="V875" s="31"/>
      <c r="W875" s="62">
        <f>W876</f>
        <v>4022</v>
      </c>
      <c r="X875" s="62">
        <f>X876</f>
        <v>0</v>
      </c>
    </row>
    <row r="876" spans="1:24" s="13" customFormat="1" ht="15.75">
      <c r="A876" s="237" t="s">
        <v>226</v>
      </c>
      <c r="B876" s="47"/>
      <c r="C876" s="48" t="s">
        <v>172</v>
      </c>
      <c r="D876" s="48" t="s">
        <v>171</v>
      </c>
      <c r="E876" s="49" t="s">
        <v>496</v>
      </c>
      <c r="F876" s="56" t="s">
        <v>188</v>
      </c>
      <c r="G876" s="62">
        <f>G877</f>
        <v>4022</v>
      </c>
      <c r="H876" s="31"/>
      <c r="I876" s="31"/>
      <c r="J876" s="31"/>
      <c r="K876" s="31"/>
      <c r="L876" s="31"/>
      <c r="M876" s="31"/>
      <c r="N876" s="31"/>
      <c r="O876" s="31"/>
      <c r="P876" s="31"/>
      <c r="Q876" s="32"/>
      <c r="R876" s="31"/>
      <c r="S876" s="31"/>
      <c r="T876" s="31"/>
      <c r="U876" s="31"/>
      <c r="V876" s="31"/>
      <c r="W876" s="62">
        <f>W877</f>
        <v>4022</v>
      </c>
      <c r="X876" s="62">
        <f>X877</f>
        <v>0</v>
      </c>
    </row>
    <row r="877" spans="1:24" s="13" customFormat="1" ht="15.75">
      <c r="A877" s="282" t="s">
        <v>189</v>
      </c>
      <c r="B877" s="47"/>
      <c r="C877" s="48" t="s">
        <v>172</v>
      </c>
      <c r="D877" s="48" t="s">
        <v>171</v>
      </c>
      <c r="E877" s="49" t="s">
        <v>496</v>
      </c>
      <c r="F877" s="56" t="s">
        <v>187</v>
      </c>
      <c r="G877" s="102">
        <v>4022</v>
      </c>
      <c r="H877" s="31"/>
      <c r="I877" s="31"/>
      <c r="J877" s="31"/>
      <c r="K877" s="31"/>
      <c r="L877" s="31"/>
      <c r="M877" s="31"/>
      <c r="N877" s="31"/>
      <c r="O877" s="31"/>
      <c r="P877" s="31"/>
      <c r="Q877" s="32"/>
      <c r="R877" s="31"/>
      <c r="S877" s="31"/>
      <c r="T877" s="31"/>
      <c r="U877" s="31"/>
      <c r="V877" s="31"/>
      <c r="W877" s="102">
        <v>4022</v>
      </c>
      <c r="X877" s="62">
        <f>G877-W877</f>
        <v>0</v>
      </c>
    </row>
    <row r="878" spans="1:24" s="13" customFormat="1" ht="15" customHeight="1">
      <c r="A878" s="242" t="s">
        <v>539</v>
      </c>
      <c r="B878" s="51"/>
      <c r="C878" s="45" t="s">
        <v>172</v>
      </c>
      <c r="D878" s="45" t="s">
        <v>171</v>
      </c>
      <c r="E878" s="52" t="s">
        <v>80</v>
      </c>
      <c r="F878" s="57"/>
      <c r="G878" s="58">
        <f>G879</f>
        <v>217.9</v>
      </c>
      <c r="H878" s="31"/>
      <c r="I878" s="31"/>
      <c r="J878" s="31"/>
      <c r="K878" s="31"/>
      <c r="L878" s="31"/>
      <c r="M878" s="31"/>
      <c r="N878" s="31"/>
      <c r="O878" s="31"/>
      <c r="P878" s="31"/>
      <c r="Q878" s="32"/>
      <c r="R878" s="31"/>
      <c r="S878" s="31"/>
      <c r="T878" s="31"/>
      <c r="U878" s="31"/>
      <c r="V878" s="31"/>
      <c r="W878" s="58">
        <f aca="true" t="shared" si="55" ref="W878:X880">W879</f>
        <v>217.9</v>
      </c>
      <c r="X878" s="58">
        <f t="shared" si="55"/>
        <v>0</v>
      </c>
    </row>
    <row r="879" spans="1:24" s="13" customFormat="1" ht="15.75">
      <c r="A879" s="238" t="s">
        <v>540</v>
      </c>
      <c r="B879" s="47"/>
      <c r="C879" s="48" t="s">
        <v>172</v>
      </c>
      <c r="D879" s="48" t="s">
        <v>171</v>
      </c>
      <c r="E879" s="49" t="s">
        <v>81</v>
      </c>
      <c r="F879" s="56"/>
      <c r="G879" s="62">
        <f>G880</f>
        <v>217.9</v>
      </c>
      <c r="H879" s="31"/>
      <c r="I879" s="31"/>
      <c r="J879" s="31"/>
      <c r="K879" s="31"/>
      <c r="L879" s="31"/>
      <c r="M879" s="31"/>
      <c r="N879" s="31"/>
      <c r="O879" s="31"/>
      <c r="P879" s="31"/>
      <c r="Q879" s="32"/>
      <c r="R879" s="31"/>
      <c r="S879" s="31"/>
      <c r="T879" s="31"/>
      <c r="U879" s="31"/>
      <c r="V879" s="31"/>
      <c r="W879" s="62">
        <f t="shared" si="55"/>
        <v>217.9</v>
      </c>
      <c r="X879" s="62">
        <f t="shared" si="55"/>
        <v>0</v>
      </c>
    </row>
    <row r="880" spans="1:24" s="13" customFormat="1" ht="15.75">
      <c r="A880" s="237" t="s">
        <v>226</v>
      </c>
      <c r="B880" s="47"/>
      <c r="C880" s="48" t="s">
        <v>172</v>
      </c>
      <c r="D880" s="48" t="s">
        <v>171</v>
      </c>
      <c r="E880" s="49" t="s">
        <v>81</v>
      </c>
      <c r="F880" s="56" t="s">
        <v>188</v>
      </c>
      <c r="G880" s="62">
        <f>G881</f>
        <v>217.9</v>
      </c>
      <c r="H880" s="31"/>
      <c r="I880" s="31"/>
      <c r="J880" s="31"/>
      <c r="K880" s="31"/>
      <c r="L880" s="31"/>
      <c r="M880" s="31"/>
      <c r="N880" s="31"/>
      <c r="O880" s="31"/>
      <c r="P880" s="31"/>
      <c r="Q880" s="32"/>
      <c r="R880" s="31"/>
      <c r="S880" s="31"/>
      <c r="T880" s="31"/>
      <c r="U880" s="31"/>
      <c r="V880" s="31"/>
      <c r="W880" s="62">
        <f t="shared" si="55"/>
        <v>217.9</v>
      </c>
      <c r="X880" s="62">
        <f t="shared" si="55"/>
        <v>0</v>
      </c>
    </row>
    <row r="881" spans="1:24" s="13" customFormat="1" ht="15.75">
      <c r="A881" s="282" t="s">
        <v>189</v>
      </c>
      <c r="B881" s="47"/>
      <c r="C881" s="48" t="s">
        <v>172</v>
      </c>
      <c r="D881" s="48" t="s">
        <v>171</v>
      </c>
      <c r="E881" s="49" t="s">
        <v>81</v>
      </c>
      <c r="F881" s="56" t="s">
        <v>187</v>
      </c>
      <c r="G881" s="102">
        <f>166.8+51.1</f>
        <v>217.9</v>
      </c>
      <c r="H881" s="31"/>
      <c r="I881" s="31"/>
      <c r="J881" s="31"/>
      <c r="K881" s="31"/>
      <c r="L881" s="31"/>
      <c r="M881" s="31"/>
      <c r="N881" s="31"/>
      <c r="O881" s="31"/>
      <c r="P881" s="31"/>
      <c r="Q881" s="32"/>
      <c r="R881" s="31"/>
      <c r="S881" s="31"/>
      <c r="T881" s="31"/>
      <c r="U881" s="31"/>
      <c r="V881" s="31"/>
      <c r="W881" s="102">
        <f>166.8+51.1</f>
        <v>217.9</v>
      </c>
      <c r="X881" s="62">
        <f>G881-W881</f>
        <v>0</v>
      </c>
    </row>
    <row r="882" spans="1:24" s="31" customFormat="1" ht="15.75">
      <c r="A882" s="276" t="s">
        <v>512</v>
      </c>
      <c r="B882" s="51"/>
      <c r="C882" s="45" t="s">
        <v>172</v>
      </c>
      <c r="D882" s="45" t="s">
        <v>171</v>
      </c>
      <c r="E882" s="52" t="s">
        <v>511</v>
      </c>
      <c r="F882" s="57"/>
      <c r="G882" s="58">
        <f>G883</f>
        <v>11467</v>
      </c>
      <c r="Q882" s="32"/>
      <c r="W882" s="58">
        <f>W883</f>
        <v>11467</v>
      </c>
      <c r="X882" s="58">
        <f>X883</f>
        <v>0</v>
      </c>
    </row>
    <row r="883" spans="1:24" s="31" customFormat="1" ht="15.75">
      <c r="A883" s="252" t="s">
        <v>513</v>
      </c>
      <c r="B883" s="51"/>
      <c r="C883" s="45" t="s">
        <v>172</v>
      </c>
      <c r="D883" s="45" t="s">
        <v>171</v>
      </c>
      <c r="E883" s="52" t="s">
        <v>281</v>
      </c>
      <c r="F883" s="56"/>
      <c r="G883" s="62">
        <f>G884+G887+G890+G893+G896</f>
        <v>11467</v>
      </c>
      <c r="Q883" s="32"/>
      <c r="W883" s="62">
        <f>W884+W887+W890+W893+W896</f>
        <v>11467</v>
      </c>
      <c r="X883" s="62">
        <f>X884+X887+X890+X893+X896</f>
        <v>0</v>
      </c>
    </row>
    <row r="884" spans="1:24" s="31" customFormat="1" ht="31.5">
      <c r="A884" s="238" t="s">
        <v>651</v>
      </c>
      <c r="B884" s="51"/>
      <c r="C884" s="48" t="s">
        <v>172</v>
      </c>
      <c r="D884" s="48" t="s">
        <v>171</v>
      </c>
      <c r="E884" s="49" t="s">
        <v>650</v>
      </c>
      <c r="F884" s="56"/>
      <c r="G884" s="62">
        <f>G885</f>
        <v>2503.8</v>
      </c>
      <c r="Q884" s="32"/>
      <c r="W884" s="62">
        <f>W885</f>
        <v>2503.8</v>
      </c>
      <c r="X884" s="62">
        <f>X885</f>
        <v>0</v>
      </c>
    </row>
    <row r="885" spans="1:24" s="31" customFormat="1" ht="15.75">
      <c r="A885" s="163" t="s">
        <v>227</v>
      </c>
      <c r="B885" s="47"/>
      <c r="C885" s="48" t="s">
        <v>172</v>
      </c>
      <c r="D885" s="48" t="s">
        <v>171</v>
      </c>
      <c r="E885" s="49" t="s">
        <v>650</v>
      </c>
      <c r="F885" s="56" t="s">
        <v>199</v>
      </c>
      <c r="G885" s="62">
        <f>G886</f>
        <v>2503.8</v>
      </c>
      <c r="Q885" s="32"/>
      <c r="W885" s="62">
        <f>W886</f>
        <v>2503.8</v>
      </c>
      <c r="X885" s="62">
        <f>X886</f>
        <v>0</v>
      </c>
    </row>
    <row r="886" spans="1:24" s="31" customFormat="1" ht="15.75">
      <c r="A886" s="271" t="s">
        <v>179</v>
      </c>
      <c r="B886" s="55"/>
      <c r="C886" s="48" t="s">
        <v>172</v>
      </c>
      <c r="D886" s="48" t="s">
        <v>171</v>
      </c>
      <c r="E886" s="49" t="s">
        <v>650</v>
      </c>
      <c r="F886" s="56" t="s">
        <v>200</v>
      </c>
      <c r="G886" s="62">
        <v>2503.8</v>
      </c>
      <c r="Q886" s="32"/>
      <c r="W886" s="62">
        <v>2503.8</v>
      </c>
      <c r="X886" s="62">
        <f>G886-W886</f>
        <v>0</v>
      </c>
    </row>
    <row r="887" spans="1:24" s="31" customFormat="1" ht="31.5">
      <c r="A887" s="238" t="s">
        <v>659</v>
      </c>
      <c r="B887" s="51"/>
      <c r="C887" s="48" t="s">
        <v>172</v>
      </c>
      <c r="D887" s="48" t="s">
        <v>171</v>
      </c>
      <c r="E887" s="49" t="s">
        <v>658</v>
      </c>
      <c r="F887" s="56"/>
      <c r="G887" s="62">
        <f>G888</f>
        <v>2997.1</v>
      </c>
      <c r="Q887" s="32"/>
      <c r="W887" s="62">
        <f>W888</f>
        <v>2997.1</v>
      </c>
      <c r="X887" s="62">
        <f>X888</f>
        <v>0</v>
      </c>
    </row>
    <row r="888" spans="1:24" s="31" customFormat="1" ht="15.75">
      <c r="A888" s="163" t="s">
        <v>227</v>
      </c>
      <c r="B888" s="47"/>
      <c r="C888" s="48" t="s">
        <v>172</v>
      </c>
      <c r="D888" s="48" t="s">
        <v>171</v>
      </c>
      <c r="E888" s="49" t="s">
        <v>658</v>
      </c>
      <c r="F888" s="56" t="s">
        <v>199</v>
      </c>
      <c r="G888" s="62">
        <f>G889</f>
        <v>2997.1</v>
      </c>
      <c r="Q888" s="32"/>
      <c r="W888" s="62">
        <f>W889</f>
        <v>2997.1</v>
      </c>
      <c r="X888" s="62">
        <f>X889</f>
        <v>0</v>
      </c>
    </row>
    <row r="889" spans="1:24" s="31" customFormat="1" ht="15.75">
      <c r="A889" s="271" t="s">
        <v>179</v>
      </c>
      <c r="B889" s="55"/>
      <c r="C889" s="48" t="s">
        <v>172</v>
      </c>
      <c r="D889" s="48" t="s">
        <v>171</v>
      </c>
      <c r="E889" s="49" t="s">
        <v>658</v>
      </c>
      <c r="F889" s="56" t="s">
        <v>200</v>
      </c>
      <c r="G889" s="62">
        <v>2997.1</v>
      </c>
      <c r="Q889" s="32"/>
      <c r="W889" s="62">
        <v>2997.1</v>
      </c>
      <c r="X889" s="62">
        <f>G889-W889</f>
        <v>0</v>
      </c>
    </row>
    <row r="890" spans="1:24" s="31" customFormat="1" ht="31.5">
      <c r="A890" s="238" t="s">
        <v>653</v>
      </c>
      <c r="B890" s="51"/>
      <c r="C890" s="48" t="s">
        <v>172</v>
      </c>
      <c r="D890" s="48" t="s">
        <v>171</v>
      </c>
      <c r="E890" s="49" t="s">
        <v>652</v>
      </c>
      <c r="F890" s="56"/>
      <c r="G890" s="62">
        <f>G891</f>
        <v>1998.3</v>
      </c>
      <c r="Q890" s="32"/>
      <c r="W890" s="62">
        <f>W891</f>
        <v>1998.3</v>
      </c>
      <c r="X890" s="62">
        <f>X891</f>
        <v>0</v>
      </c>
    </row>
    <row r="891" spans="1:24" s="31" customFormat="1" ht="15.75">
      <c r="A891" s="163" t="s">
        <v>227</v>
      </c>
      <c r="B891" s="47"/>
      <c r="C891" s="48" t="s">
        <v>172</v>
      </c>
      <c r="D891" s="48" t="s">
        <v>171</v>
      </c>
      <c r="E891" s="49" t="s">
        <v>652</v>
      </c>
      <c r="F891" s="56" t="s">
        <v>199</v>
      </c>
      <c r="G891" s="62">
        <f>G892</f>
        <v>1998.3</v>
      </c>
      <c r="Q891" s="32"/>
      <c r="W891" s="62">
        <f>W892</f>
        <v>1998.3</v>
      </c>
      <c r="X891" s="62">
        <f>X892</f>
        <v>0</v>
      </c>
    </row>
    <row r="892" spans="1:24" s="31" customFormat="1" ht="15.75">
      <c r="A892" s="271" t="s">
        <v>179</v>
      </c>
      <c r="B892" s="55"/>
      <c r="C892" s="48" t="s">
        <v>172</v>
      </c>
      <c r="D892" s="48" t="s">
        <v>171</v>
      </c>
      <c r="E892" s="49" t="s">
        <v>652</v>
      </c>
      <c r="F892" s="56" t="s">
        <v>200</v>
      </c>
      <c r="G892" s="62">
        <v>1998.3</v>
      </c>
      <c r="Q892" s="32"/>
      <c r="W892" s="62">
        <v>1998.3</v>
      </c>
      <c r="X892" s="62">
        <f>G892-W892</f>
        <v>0</v>
      </c>
    </row>
    <row r="893" spans="1:24" s="31" customFormat="1" ht="31.5">
      <c r="A893" s="238" t="s">
        <v>655</v>
      </c>
      <c r="B893" s="51"/>
      <c r="C893" s="48" t="s">
        <v>172</v>
      </c>
      <c r="D893" s="48" t="s">
        <v>171</v>
      </c>
      <c r="E893" s="49" t="s">
        <v>654</v>
      </c>
      <c r="F893" s="56"/>
      <c r="G893" s="62">
        <f>G894</f>
        <v>970.7</v>
      </c>
      <c r="Q893" s="32"/>
      <c r="W893" s="62">
        <f>W894</f>
        <v>970.7</v>
      </c>
      <c r="X893" s="62">
        <f>X894</f>
        <v>0</v>
      </c>
    </row>
    <row r="894" spans="1:24" s="31" customFormat="1" ht="15.75">
      <c r="A894" s="163" t="s">
        <v>227</v>
      </c>
      <c r="B894" s="47"/>
      <c r="C894" s="48" t="s">
        <v>172</v>
      </c>
      <c r="D894" s="48" t="s">
        <v>171</v>
      </c>
      <c r="E894" s="49" t="s">
        <v>654</v>
      </c>
      <c r="F894" s="56" t="s">
        <v>199</v>
      </c>
      <c r="G894" s="62">
        <f>G895</f>
        <v>970.7</v>
      </c>
      <c r="Q894" s="32"/>
      <c r="W894" s="62">
        <f>W895</f>
        <v>970.7</v>
      </c>
      <c r="X894" s="62">
        <f>X895</f>
        <v>0</v>
      </c>
    </row>
    <row r="895" spans="1:24" s="31" customFormat="1" ht="15.75">
      <c r="A895" s="271" t="s">
        <v>179</v>
      </c>
      <c r="B895" s="55"/>
      <c r="C895" s="48" t="s">
        <v>172</v>
      </c>
      <c r="D895" s="48" t="s">
        <v>171</v>
      </c>
      <c r="E895" s="49" t="s">
        <v>654</v>
      </c>
      <c r="F895" s="56" t="s">
        <v>200</v>
      </c>
      <c r="G895" s="62">
        <v>970.7</v>
      </c>
      <c r="Q895" s="32"/>
      <c r="W895" s="62">
        <v>970.7</v>
      </c>
      <c r="X895" s="62">
        <f>G895-W895</f>
        <v>0</v>
      </c>
    </row>
    <row r="896" spans="1:24" s="31" customFormat="1" ht="37.5" customHeight="1">
      <c r="A896" s="238" t="s">
        <v>657</v>
      </c>
      <c r="B896" s="51"/>
      <c r="C896" s="48" t="s">
        <v>172</v>
      </c>
      <c r="D896" s="48" t="s">
        <v>171</v>
      </c>
      <c r="E896" s="49" t="s">
        <v>656</v>
      </c>
      <c r="F896" s="56"/>
      <c r="G896" s="62">
        <f>G897</f>
        <v>2997.1</v>
      </c>
      <c r="Q896" s="32"/>
      <c r="W896" s="62">
        <f>W897</f>
        <v>2997.1</v>
      </c>
      <c r="X896" s="62">
        <f>X897</f>
        <v>0</v>
      </c>
    </row>
    <row r="897" spans="1:24" s="31" customFormat="1" ht="15.75">
      <c r="A897" s="163" t="s">
        <v>227</v>
      </c>
      <c r="B897" s="47"/>
      <c r="C897" s="48" t="s">
        <v>172</v>
      </c>
      <c r="D897" s="48" t="s">
        <v>171</v>
      </c>
      <c r="E897" s="49" t="s">
        <v>656</v>
      </c>
      <c r="F897" s="56" t="s">
        <v>199</v>
      </c>
      <c r="G897" s="62">
        <f>G898</f>
        <v>2997.1</v>
      </c>
      <c r="Q897" s="32"/>
      <c r="W897" s="62">
        <f>W898</f>
        <v>2997.1</v>
      </c>
      <c r="X897" s="62">
        <f>X898</f>
        <v>0</v>
      </c>
    </row>
    <row r="898" spans="1:24" s="31" customFormat="1" ht="15.75">
      <c r="A898" s="271" t="s">
        <v>179</v>
      </c>
      <c r="B898" s="55"/>
      <c r="C898" s="48" t="s">
        <v>172</v>
      </c>
      <c r="D898" s="48" t="s">
        <v>171</v>
      </c>
      <c r="E898" s="49" t="s">
        <v>656</v>
      </c>
      <c r="F898" s="56" t="s">
        <v>200</v>
      </c>
      <c r="G898" s="62">
        <v>2997.1</v>
      </c>
      <c r="Q898" s="32"/>
      <c r="W898" s="62">
        <v>2997.1</v>
      </c>
      <c r="X898" s="62">
        <f>G898-W898</f>
        <v>0</v>
      </c>
    </row>
    <row r="899" spans="1:24" s="13" customFormat="1" ht="15.75">
      <c r="A899" s="286" t="s">
        <v>8</v>
      </c>
      <c r="B899" s="105"/>
      <c r="C899" s="103" t="s">
        <v>172</v>
      </c>
      <c r="D899" s="103" t="s">
        <v>158</v>
      </c>
      <c r="E899" s="106"/>
      <c r="F899" s="107"/>
      <c r="G899" s="104">
        <f>G900+G913</f>
        <v>57477.04</v>
      </c>
      <c r="H899" s="31"/>
      <c r="I899" s="31"/>
      <c r="J899" s="31"/>
      <c r="K899" s="31"/>
      <c r="L899" s="31"/>
      <c r="M899" s="31"/>
      <c r="N899" s="31"/>
      <c r="O899" s="31"/>
      <c r="P899" s="31"/>
      <c r="Q899" s="32"/>
      <c r="R899" s="31"/>
      <c r="S899" s="31"/>
      <c r="T899" s="31"/>
      <c r="U899" s="31"/>
      <c r="V899" s="31"/>
      <c r="W899" s="104">
        <f>W900+W913</f>
        <v>57477.04</v>
      </c>
      <c r="X899" s="104">
        <f>X900+X913</f>
        <v>0</v>
      </c>
    </row>
    <row r="900" spans="1:24" s="13" customFormat="1" ht="31.5">
      <c r="A900" s="234" t="s">
        <v>452</v>
      </c>
      <c r="B900" s="51"/>
      <c r="C900" s="45" t="s">
        <v>172</v>
      </c>
      <c r="D900" s="45" t="s">
        <v>158</v>
      </c>
      <c r="E900" s="52" t="s">
        <v>328</v>
      </c>
      <c r="F900" s="57"/>
      <c r="G900" s="58">
        <f>G901+G904+G907+G910</f>
        <v>30686.04</v>
      </c>
      <c r="H900" s="31"/>
      <c r="I900" s="31"/>
      <c r="J900" s="31"/>
      <c r="K900" s="31"/>
      <c r="L900" s="31"/>
      <c r="M900" s="31"/>
      <c r="N900" s="31"/>
      <c r="O900" s="31"/>
      <c r="P900" s="31"/>
      <c r="Q900" s="32"/>
      <c r="R900" s="31"/>
      <c r="S900" s="31"/>
      <c r="T900" s="31"/>
      <c r="U900" s="31"/>
      <c r="V900" s="31"/>
      <c r="W900" s="58">
        <f>W901+W904+W907+W910</f>
        <v>30686.04</v>
      </c>
      <c r="X900" s="58">
        <f>X901+X904+X907+X910</f>
        <v>0</v>
      </c>
    </row>
    <row r="901" spans="1:24" s="13" customFormat="1" ht="15.75">
      <c r="A901" s="240" t="s">
        <v>7</v>
      </c>
      <c r="B901" s="47"/>
      <c r="C901" s="48" t="s">
        <v>172</v>
      </c>
      <c r="D901" s="48" t="s">
        <v>158</v>
      </c>
      <c r="E901" s="49" t="s">
        <v>458</v>
      </c>
      <c r="F901" s="56"/>
      <c r="G901" s="62">
        <f>G902</f>
        <v>798.4</v>
      </c>
      <c r="H901" s="31"/>
      <c r="I901" s="31"/>
      <c r="J901" s="31"/>
      <c r="K901" s="31"/>
      <c r="L901" s="31"/>
      <c r="M901" s="31"/>
      <c r="N901" s="31"/>
      <c r="O901" s="31"/>
      <c r="P901" s="31"/>
      <c r="Q901" s="32"/>
      <c r="R901" s="31"/>
      <c r="S901" s="31"/>
      <c r="T901" s="31"/>
      <c r="U901" s="31"/>
      <c r="V901" s="31"/>
      <c r="W901" s="62">
        <f>W902</f>
        <v>798.4</v>
      </c>
      <c r="X901" s="62">
        <f>X902</f>
        <v>0</v>
      </c>
    </row>
    <row r="902" spans="1:24" s="13" customFormat="1" ht="15.75">
      <c r="A902" s="237" t="s">
        <v>226</v>
      </c>
      <c r="B902" s="51"/>
      <c r="C902" s="48" t="s">
        <v>172</v>
      </c>
      <c r="D902" s="48" t="s">
        <v>158</v>
      </c>
      <c r="E902" s="49" t="s">
        <v>458</v>
      </c>
      <c r="F902" s="56" t="s">
        <v>188</v>
      </c>
      <c r="G902" s="62">
        <f>G903</f>
        <v>798.4</v>
      </c>
      <c r="H902" s="31"/>
      <c r="I902" s="31"/>
      <c r="J902" s="31"/>
      <c r="K902" s="31"/>
      <c r="L902" s="31"/>
      <c r="M902" s="31"/>
      <c r="N902" s="31"/>
      <c r="O902" s="31"/>
      <c r="P902" s="31"/>
      <c r="Q902" s="32"/>
      <c r="R902" s="31"/>
      <c r="S902" s="31"/>
      <c r="T902" s="31"/>
      <c r="U902" s="31"/>
      <c r="V902" s="31"/>
      <c r="W902" s="62">
        <f>W903</f>
        <v>798.4</v>
      </c>
      <c r="X902" s="62">
        <f>X903</f>
        <v>0</v>
      </c>
    </row>
    <row r="903" spans="1:24" s="13" customFormat="1" ht="15.75">
      <c r="A903" s="237" t="s">
        <v>189</v>
      </c>
      <c r="B903" s="51"/>
      <c r="C903" s="48" t="s">
        <v>172</v>
      </c>
      <c r="D903" s="48" t="s">
        <v>158</v>
      </c>
      <c r="E903" s="49" t="s">
        <v>458</v>
      </c>
      <c r="F903" s="56" t="s">
        <v>187</v>
      </c>
      <c r="G903" s="62">
        <f>570+228.4</f>
        <v>798.4</v>
      </c>
      <c r="H903" s="31"/>
      <c r="I903" s="31"/>
      <c r="J903" s="31"/>
      <c r="K903" s="31"/>
      <c r="L903" s="31"/>
      <c r="M903" s="31"/>
      <c r="N903" s="31"/>
      <c r="O903" s="31"/>
      <c r="P903" s="31"/>
      <c r="Q903" s="32"/>
      <c r="R903" s="31"/>
      <c r="S903" s="31"/>
      <c r="T903" s="31"/>
      <c r="U903" s="31"/>
      <c r="V903" s="31"/>
      <c r="W903" s="62">
        <f>570+228.4</f>
        <v>798.4</v>
      </c>
      <c r="X903" s="62">
        <f>G903-W903</f>
        <v>0</v>
      </c>
    </row>
    <row r="904" spans="1:24" s="13" customFormat="1" ht="31.5">
      <c r="A904" s="240" t="s">
        <v>454</v>
      </c>
      <c r="B904" s="47"/>
      <c r="C904" s="48" t="s">
        <v>172</v>
      </c>
      <c r="D904" s="48" t="s">
        <v>158</v>
      </c>
      <c r="E904" s="49" t="s">
        <v>330</v>
      </c>
      <c r="F904" s="56"/>
      <c r="G904" s="62">
        <f>G905</f>
        <v>2500</v>
      </c>
      <c r="H904" s="31"/>
      <c r="I904" s="31"/>
      <c r="J904" s="31"/>
      <c r="K904" s="31"/>
      <c r="L904" s="31"/>
      <c r="M904" s="31"/>
      <c r="N904" s="31"/>
      <c r="O904" s="31"/>
      <c r="P904" s="31"/>
      <c r="Q904" s="32"/>
      <c r="R904" s="31"/>
      <c r="S904" s="31"/>
      <c r="T904" s="31"/>
      <c r="U904" s="31"/>
      <c r="V904" s="31"/>
      <c r="W904" s="62">
        <f>W905</f>
        <v>2500</v>
      </c>
      <c r="X904" s="62">
        <f>X905</f>
        <v>0</v>
      </c>
    </row>
    <row r="905" spans="1:24" s="13" customFormat="1" ht="15.75">
      <c r="A905" s="237" t="s">
        <v>226</v>
      </c>
      <c r="B905" s="51"/>
      <c r="C905" s="48" t="s">
        <v>172</v>
      </c>
      <c r="D905" s="48" t="s">
        <v>158</v>
      </c>
      <c r="E905" s="49" t="s">
        <v>330</v>
      </c>
      <c r="F905" s="56" t="s">
        <v>188</v>
      </c>
      <c r="G905" s="62">
        <f>G906</f>
        <v>2500</v>
      </c>
      <c r="H905" s="31"/>
      <c r="I905" s="31"/>
      <c r="J905" s="31"/>
      <c r="K905" s="31"/>
      <c r="L905" s="31"/>
      <c r="M905" s="31"/>
      <c r="N905" s="31"/>
      <c r="O905" s="31"/>
      <c r="P905" s="31"/>
      <c r="Q905" s="32"/>
      <c r="R905" s="31"/>
      <c r="S905" s="31"/>
      <c r="T905" s="31"/>
      <c r="U905" s="31"/>
      <c r="V905" s="31"/>
      <c r="W905" s="62">
        <f>W906</f>
        <v>2500</v>
      </c>
      <c r="X905" s="62">
        <f>X906</f>
        <v>0</v>
      </c>
    </row>
    <row r="906" spans="1:24" s="13" customFormat="1" ht="15.75">
      <c r="A906" s="237" t="s">
        <v>189</v>
      </c>
      <c r="B906" s="51"/>
      <c r="C906" s="48" t="s">
        <v>172</v>
      </c>
      <c r="D906" s="48" t="s">
        <v>158</v>
      </c>
      <c r="E906" s="49" t="s">
        <v>330</v>
      </c>
      <c r="F906" s="56" t="s">
        <v>187</v>
      </c>
      <c r="G906" s="62">
        <v>2500</v>
      </c>
      <c r="H906" s="31"/>
      <c r="I906" s="31"/>
      <c r="J906" s="31"/>
      <c r="K906" s="31"/>
      <c r="L906" s="31"/>
      <c r="M906" s="31"/>
      <c r="N906" s="31"/>
      <c r="O906" s="31"/>
      <c r="P906" s="31"/>
      <c r="Q906" s="32"/>
      <c r="R906" s="31"/>
      <c r="S906" s="31"/>
      <c r="T906" s="31"/>
      <c r="U906" s="31"/>
      <c r="V906" s="31"/>
      <c r="W906" s="62">
        <v>2500</v>
      </c>
      <c r="X906" s="62">
        <f>G906-W906</f>
        <v>0</v>
      </c>
    </row>
    <row r="907" spans="1:24" s="13" customFormat="1" ht="15.75">
      <c r="A907" s="240" t="s">
        <v>455</v>
      </c>
      <c r="B907" s="47"/>
      <c r="C907" s="48" t="s">
        <v>172</v>
      </c>
      <c r="D907" s="48" t="s">
        <v>158</v>
      </c>
      <c r="E907" s="49" t="s">
        <v>453</v>
      </c>
      <c r="F907" s="56"/>
      <c r="G907" s="62">
        <f>G908</f>
        <v>26987.64</v>
      </c>
      <c r="H907" s="31"/>
      <c r="I907" s="31"/>
      <c r="J907" s="31"/>
      <c r="K907" s="31"/>
      <c r="L907" s="31"/>
      <c r="M907" s="31"/>
      <c r="N907" s="31"/>
      <c r="O907" s="31"/>
      <c r="P907" s="31"/>
      <c r="Q907" s="32"/>
      <c r="R907" s="31"/>
      <c r="S907" s="31"/>
      <c r="T907" s="31"/>
      <c r="U907" s="31"/>
      <c r="V907" s="31"/>
      <c r="W907" s="62">
        <f>W908</f>
        <v>26987.64</v>
      </c>
      <c r="X907" s="62">
        <f>X908</f>
        <v>0</v>
      </c>
    </row>
    <row r="908" spans="1:24" s="13" customFormat="1" ht="15.75">
      <c r="A908" s="237" t="s">
        <v>226</v>
      </c>
      <c r="B908" s="51"/>
      <c r="C908" s="48" t="s">
        <v>172</v>
      </c>
      <c r="D908" s="48" t="s">
        <v>158</v>
      </c>
      <c r="E908" s="49" t="s">
        <v>453</v>
      </c>
      <c r="F908" s="56" t="s">
        <v>188</v>
      </c>
      <c r="G908" s="62">
        <f>G909</f>
        <v>26987.64</v>
      </c>
      <c r="H908" s="31"/>
      <c r="I908" s="31"/>
      <c r="J908" s="31"/>
      <c r="K908" s="31"/>
      <c r="L908" s="31"/>
      <c r="M908" s="31"/>
      <c r="N908" s="31"/>
      <c r="O908" s="31"/>
      <c r="P908" s="31"/>
      <c r="Q908" s="32"/>
      <c r="R908" s="31"/>
      <c r="S908" s="31"/>
      <c r="T908" s="31"/>
      <c r="U908" s="31"/>
      <c r="V908" s="31"/>
      <c r="W908" s="62">
        <f>W909</f>
        <v>26987.64</v>
      </c>
      <c r="X908" s="62">
        <f>X909</f>
        <v>0</v>
      </c>
    </row>
    <row r="909" spans="1:24" s="13" customFormat="1" ht="15.75">
      <c r="A909" s="237" t="s">
        <v>189</v>
      </c>
      <c r="B909" s="51"/>
      <c r="C909" s="48" t="s">
        <v>172</v>
      </c>
      <c r="D909" s="48" t="s">
        <v>158</v>
      </c>
      <c r="E909" s="49" t="s">
        <v>453</v>
      </c>
      <c r="F909" s="56" t="s">
        <v>187</v>
      </c>
      <c r="G909" s="62">
        <f>6898.4-2000+22089.24</f>
        <v>26987.64</v>
      </c>
      <c r="H909" s="31"/>
      <c r="I909" s="31"/>
      <c r="J909" s="31"/>
      <c r="K909" s="31"/>
      <c r="L909" s="31"/>
      <c r="M909" s="31"/>
      <c r="N909" s="31"/>
      <c r="O909" s="31"/>
      <c r="P909" s="31"/>
      <c r="Q909" s="32"/>
      <c r="R909" s="31"/>
      <c r="S909" s="31"/>
      <c r="T909" s="31"/>
      <c r="U909" s="31"/>
      <c r="V909" s="31"/>
      <c r="W909" s="62">
        <f>6898.4-2000+22089.24</f>
        <v>26987.64</v>
      </c>
      <c r="X909" s="62">
        <f>G909-W909</f>
        <v>0</v>
      </c>
    </row>
    <row r="910" spans="1:24" s="13" customFormat="1" ht="31.5">
      <c r="A910" s="240" t="s">
        <v>456</v>
      </c>
      <c r="B910" s="47"/>
      <c r="C910" s="48" t="s">
        <v>172</v>
      </c>
      <c r="D910" s="48" t="s">
        <v>158</v>
      </c>
      <c r="E910" s="49" t="s">
        <v>457</v>
      </c>
      <c r="F910" s="56"/>
      <c r="G910" s="62">
        <f>G911</f>
        <v>400</v>
      </c>
      <c r="H910" s="31"/>
      <c r="I910" s="31"/>
      <c r="J910" s="31"/>
      <c r="K910" s="31"/>
      <c r="L910" s="31"/>
      <c r="M910" s="31"/>
      <c r="N910" s="31"/>
      <c r="O910" s="31"/>
      <c r="P910" s="31"/>
      <c r="Q910" s="32"/>
      <c r="R910" s="31"/>
      <c r="S910" s="31"/>
      <c r="T910" s="31"/>
      <c r="U910" s="31"/>
      <c r="V910" s="31"/>
      <c r="W910" s="62">
        <f>W911</f>
        <v>400</v>
      </c>
      <c r="X910" s="62">
        <f>X911</f>
        <v>0</v>
      </c>
    </row>
    <row r="911" spans="1:24" s="13" customFormat="1" ht="15.75">
      <c r="A911" s="237" t="s">
        <v>226</v>
      </c>
      <c r="B911" s="51"/>
      <c r="C911" s="48" t="s">
        <v>172</v>
      </c>
      <c r="D911" s="48" t="s">
        <v>158</v>
      </c>
      <c r="E911" s="49" t="s">
        <v>457</v>
      </c>
      <c r="F911" s="56" t="s">
        <v>188</v>
      </c>
      <c r="G911" s="62">
        <f>G912</f>
        <v>400</v>
      </c>
      <c r="H911" s="31"/>
      <c r="I911" s="31"/>
      <c r="J911" s="31"/>
      <c r="K911" s="31"/>
      <c r="L911" s="31"/>
      <c r="M911" s="31"/>
      <c r="N911" s="31"/>
      <c r="O911" s="31"/>
      <c r="P911" s="31"/>
      <c r="Q911" s="32"/>
      <c r="R911" s="31"/>
      <c r="S911" s="31"/>
      <c r="T911" s="31"/>
      <c r="U911" s="31"/>
      <c r="V911" s="31"/>
      <c r="W911" s="62">
        <f>W912</f>
        <v>400</v>
      </c>
      <c r="X911" s="62">
        <f>X912</f>
        <v>0</v>
      </c>
    </row>
    <row r="912" spans="1:24" s="13" customFormat="1" ht="15.75">
      <c r="A912" s="237" t="s">
        <v>189</v>
      </c>
      <c r="B912" s="51"/>
      <c r="C912" s="48" t="s">
        <v>172</v>
      </c>
      <c r="D912" s="48" t="s">
        <v>158</v>
      </c>
      <c r="E912" s="49" t="s">
        <v>457</v>
      </c>
      <c r="F912" s="56" t="s">
        <v>187</v>
      </c>
      <c r="G912" s="62">
        <v>400</v>
      </c>
      <c r="H912" s="31"/>
      <c r="I912" s="31"/>
      <c r="J912" s="31"/>
      <c r="K912" s="31"/>
      <c r="L912" s="31"/>
      <c r="M912" s="31"/>
      <c r="N912" s="31"/>
      <c r="O912" s="31"/>
      <c r="P912" s="31"/>
      <c r="Q912" s="32"/>
      <c r="R912" s="31"/>
      <c r="S912" s="31"/>
      <c r="T912" s="31"/>
      <c r="U912" s="31"/>
      <c r="V912" s="31"/>
      <c r="W912" s="62">
        <v>400</v>
      </c>
      <c r="X912" s="62">
        <f>G912-W912</f>
        <v>0</v>
      </c>
    </row>
    <row r="913" spans="1:24" s="13" customFormat="1" ht="15.75">
      <c r="A913" s="239" t="s">
        <v>446</v>
      </c>
      <c r="B913" s="51"/>
      <c r="C913" s="45" t="s">
        <v>172</v>
      </c>
      <c r="D913" s="45" t="s">
        <v>158</v>
      </c>
      <c r="E913" s="52" t="s">
        <v>17</v>
      </c>
      <c r="F913" s="57"/>
      <c r="G913" s="58">
        <f>G914+G917+G922</f>
        <v>26791</v>
      </c>
      <c r="H913" s="31"/>
      <c r="I913" s="31"/>
      <c r="J913" s="31"/>
      <c r="K913" s="31"/>
      <c r="L913" s="31"/>
      <c r="M913" s="31"/>
      <c r="N913" s="31"/>
      <c r="O913" s="31"/>
      <c r="P913" s="31"/>
      <c r="Q913" s="32"/>
      <c r="R913" s="31"/>
      <c r="S913" s="31"/>
      <c r="T913" s="31"/>
      <c r="U913" s="31"/>
      <c r="V913" s="31"/>
      <c r="W913" s="58">
        <f>W914+W917+W922</f>
        <v>26791</v>
      </c>
      <c r="X913" s="58">
        <f>X914+X917+X922</f>
        <v>0</v>
      </c>
    </row>
    <row r="914" spans="1:24" s="13" customFormat="1" ht="15.75">
      <c r="A914" s="238" t="s">
        <v>106</v>
      </c>
      <c r="B914" s="51"/>
      <c r="C914" s="48" t="s">
        <v>172</v>
      </c>
      <c r="D914" s="48" t="s">
        <v>158</v>
      </c>
      <c r="E914" s="49" t="s">
        <v>459</v>
      </c>
      <c r="F914" s="56"/>
      <c r="G914" s="62">
        <f>G915</f>
        <v>7199.5</v>
      </c>
      <c r="H914" s="31"/>
      <c r="I914" s="31"/>
      <c r="J914" s="31"/>
      <c r="K914" s="31"/>
      <c r="L914" s="31"/>
      <c r="M914" s="31"/>
      <c r="N914" s="31"/>
      <c r="O914" s="31"/>
      <c r="P914" s="31"/>
      <c r="Q914" s="32"/>
      <c r="R914" s="31"/>
      <c r="S914" s="31"/>
      <c r="T914" s="31"/>
      <c r="U914" s="31"/>
      <c r="V914" s="31"/>
      <c r="W914" s="62">
        <f>W915</f>
        <v>7199.5</v>
      </c>
      <c r="X914" s="62">
        <f>X915</f>
        <v>0</v>
      </c>
    </row>
    <row r="915" spans="1:24" s="13" customFormat="1" ht="31.5">
      <c r="A915" s="237" t="s">
        <v>263</v>
      </c>
      <c r="B915" s="51"/>
      <c r="C915" s="48" t="s">
        <v>172</v>
      </c>
      <c r="D915" s="48" t="s">
        <v>158</v>
      </c>
      <c r="E915" s="49" t="s">
        <v>459</v>
      </c>
      <c r="F915" s="56" t="s">
        <v>178</v>
      </c>
      <c r="G915" s="62">
        <f>G916</f>
        <v>7199.5</v>
      </c>
      <c r="H915" s="31"/>
      <c r="I915" s="31"/>
      <c r="J915" s="31"/>
      <c r="K915" s="31"/>
      <c r="L915" s="31"/>
      <c r="M915" s="31"/>
      <c r="N915" s="31"/>
      <c r="O915" s="31"/>
      <c r="P915" s="31"/>
      <c r="Q915" s="32"/>
      <c r="R915" s="31"/>
      <c r="S915" s="31"/>
      <c r="T915" s="31"/>
      <c r="U915" s="31"/>
      <c r="V915" s="31"/>
      <c r="W915" s="62">
        <f>W916</f>
        <v>7199.5</v>
      </c>
      <c r="X915" s="62">
        <f>X916</f>
        <v>0</v>
      </c>
    </row>
    <row r="916" spans="1:24" s="13" customFormat="1" ht="15.75">
      <c r="A916" s="237" t="s">
        <v>197</v>
      </c>
      <c r="B916" s="51"/>
      <c r="C916" s="48" t="s">
        <v>172</v>
      </c>
      <c r="D916" s="48" t="s">
        <v>158</v>
      </c>
      <c r="E916" s="49" t="s">
        <v>459</v>
      </c>
      <c r="F916" s="56" t="s">
        <v>196</v>
      </c>
      <c r="G916" s="62">
        <v>7199.5</v>
      </c>
      <c r="H916" s="31"/>
      <c r="I916" s="31"/>
      <c r="J916" s="31"/>
      <c r="K916" s="31"/>
      <c r="L916" s="31"/>
      <c r="M916" s="31"/>
      <c r="N916" s="31"/>
      <c r="O916" s="31"/>
      <c r="P916" s="31"/>
      <c r="Q916" s="32"/>
      <c r="R916" s="31"/>
      <c r="S916" s="31"/>
      <c r="T916" s="31"/>
      <c r="U916" s="31"/>
      <c r="V916" s="31"/>
      <c r="W916" s="62">
        <v>7199.5</v>
      </c>
      <c r="X916" s="62">
        <f>G916-W916</f>
        <v>0</v>
      </c>
    </row>
    <row r="917" spans="1:24" s="13" customFormat="1" ht="15.75">
      <c r="A917" s="238" t="s">
        <v>7</v>
      </c>
      <c r="B917" s="51"/>
      <c r="C917" s="48" t="s">
        <v>172</v>
      </c>
      <c r="D917" s="48" t="s">
        <v>158</v>
      </c>
      <c r="E917" s="49" t="s">
        <v>361</v>
      </c>
      <c r="F917" s="56"/>
      <c r="G917" s="62">
        <f>G918+G920</f>
        <v>4461.5</v>
      </c>
      <c r="H917" s="31"/>
      <c r="I917" s="31"/>
      <c r="J917" s="31"/>
      <c r="K917" s="31"/>
      <c r="L917" s="31"/>
      <c r="M917" s="31"/>
      <c r="N917" s="31"/>
      <c r="O917" s="31"/>
      <c r="P917" s="31"/>
      <c r="Q917" s="32"/>
      <c r="R917" s="31"/>
      <c r="S917" s="31"/>
      <c r="T917" s="31"/>
      <c r="U917" s="31"/>
      <c r="V917" s="31"/>
      <c r="W917" s="62">
        <f>W918+W920</f>
        <v>4461.5</v>
      </c>
      <c r="X917" s="62">
        <f>X918+X920</f>
        <v>0</v>
      </c>
    </row>
    <row r="918" spans="1:24" s="13" customFormat="1" ht="15.75">
      <c r="A918" s="237" t="s">
        <v>226</v>
      </c>
      <c r="B918" s="51"/>
      <c r="C918" s="48" t="s">
        <v>172</v>
      </c>
      <c r="D918" s="48" t="s">
        <v>158</v>
      </c>
      <c r="E918" s="49" t="s">
        <v>361</v>
      </c>
      <c r="F918" s="56" t="s">
        <v>188</v>
      </c>
      <c r="G918" s="62">
        <f>G919</f>
        <v>1138.7</v>
      </c>
      <c r="H918" s="31"/>
      <c r="I918" s="31"/>
      <c r="J918" s="31"/>
      <c r="K918" s="31"/>
      <c r="L918" s="31"/>
      <c r="M918" s="31"/>
      <c r="N918" s="31"/>
      <c r="O918" s="31"/>
      <c r="P918" s="31"/>
      <c r="Q918" s="32"/>
      <c r="R918" s="31"/>
      <c r="S918" s="31"/>
      <c r="T918" s="31"/>
      <c r="U918" s="31"/>
      <c r="V918" s="31"/>
      <c r="W918" s="62">
        <f>W919</f>
        <v>1138.7</v>
      </c>
      <c r="X918" s="62">
        <f>X919</f>
        <v>0</v>
      </c>
    </row>
    <row r="919" spans="1:24" s="13" customFormat="1" ht="15.75">
      <c r="A919" s="237" t="s">
        <v>189</v>
      </c>
      <c r="B919" s="51"/>
      <c r="C919" s="48" t="s">
        <v>172</v>
      </c>
      <c r="D919" s="48" t="s">
        <v>158</v>
      </c>
      <c r="E919" s="49" t="s">
        <v>361</v>
      </c>
      <c r="F919" s="56" t="s">
        <v>187</v>
      </c>
      <c r="G919" s="62">
        <v>1138.7</v>
      </c>
      <c r="H919" s="31"/>
      <c r="I919" s="31"/>
      <c r="J919" s="31"/>
      <c r="K919" s="31"/>
      <c r="L919" s="31"/>
      <c r="M919" s="31"/>
      <c r="N919" s="31"/>
      <c r="O919" s="31"/>
      <c r="P919" s="31"/>
      <c r="Q919" s="32"/>
      <c r="R919" s="31"/>
      <c r="S919" s="31"/>
      <c r="T919" s="31"/>
      <c r="U919" s="31"/>
      <c r="V919" s="31"/>
      <c r="W919" s="62">
        <v>1138.7</v>
      </c>
      <c r="X919" s="62">
        <f>G919-W919</f>
        <v>0</v>
      </c>
    </row>
    <row r="920" spans="1:24" s="13" customFormat="1" ht="31.5">
      <c r="A920" s="237" t="s">
        <v>263</v>
      </c>
      <c r="B920" s="51"/>
      <c r="C920" s="48" t="s">
        <v>172</v>
      </c>
      <c r="D920" s="48" t="s">
        <v>158</v>
      </c>
      <c r="E920" s="49" t="s">
        <v>361</v>
      </c>
      <c r="F920" s="56" t="s">
        <v>178</v>
      </c>
      <c r="G920" s="62">
        <f>G921</f>
        <v>3322.8</v>
      </c>
      <c r="H920" s="31"/>
      <c r="I920" s="31"/>
      <c r="J920" s="31"/>
      <c r="K920" s="31"/>
      <c r="L920" s="31"/>
      <c r="M920" s="31"/>
      <c r="N920" s="31"/>
      <c r="O920" s="31"/>
      <c r="P920" s="31"/>
      <c r="Q920" s="32"/>
      <c r="R920" s="31"/>
      <c r="S920" s="31"/>
      <c r="T920" s="31"/>
      <c r="U920" s="31"/>
      <c r="V920" s="31"/>
      <c r="W920" s="62">
        <f>W921</f>
        <v>3322.8</v>
      </c>
      <c r="X920" s="62">
        <f>X921</f>
        <v>0</v>
      </c>
    </row>
    <row r="921" spans="1:24" s="13" customFormat="1" ht="15.75">
      <c r="A921" s="237" t="s">
        <v>197</v>
      </c>
      <c r="B921" s="51"/>
      <c r="C921" s="48" t="s">
        <v>172</v>
      </c>
      <c r="D921" s="48" t="s">
        <v>158</v>
      </c>
      <c r="E921" s="49" t="s">
        <v>361</v>
      </c>
      <c r="F921" s="56" t="s">
        <v>196</v>
      </c>
      <c r="G921" s="62">
        <v>3322.8</v>
      </c>
      <c r="H921" s="31"/>
      <c r="I921" s="31"/>
      <c r="J921" s="31"/>
      <c r="K921" s="31"/>
      <c r="L921" s="31"/>
      <c r="M921" s="31"/>
      <c r="N921" s="31"/>
      <c r="O921" s="31"/>
      <c r="P921" s="31"/>
      <c r="Q921" s="32"/>
      <c r="R921" s="31"/>
      <c r="S921" s="31"/>
      <c r="T921" s="31"/>
      <c r="U921" s="31"/>
      <c r="V921" s="31"/>
      <c r="W921" s="62">
        <v>3322.8</v>
      </c>
      <c r="X921" s="62">
        <f>G921-W921</f>
        <v>0</v>
      </c>
    </row>
    <row r="922" spans="1:24" s="13" customFormat="1" ht="15.75">
      <c r="A922" s="238" t="s">
        <v>593</v>
      </c>
      <c r="B922" s="51"/>
      <c r="C922" s="48" t="s">
        <v>172</v>
      </c>
      <c r="D922" s="48" t="s">
        <v>158</v>
      </c>
      <c r="E922" s="49" t="s">
        <v>592</v>
      </c>
      <c r="F922" s="56"/>
      <c r="G922" s="62">
        <f>G923</f>
        <v>15130</v>
      </c>
      <c r="H922" s="31"/>
      <c r="I922" s="31"/>
      <c r="J922" s="31"/>
      <c r="K922" s="31"/>
      <c r="L922" s="31"/>
      <c r="M922" s="31"/>
      <c r="N922" s="31"/>
      <c r="O922" s="31"/>
      <c r="P922" s="31"/>
      <c r="Q922" s="32"/>
      <c r="R922" s="31"/>
      <c r="S922" s="31"/>
      <c r="T922" s="31"/>
      <c r="U922" s="31"/>
      <c r="V922" s="31"/>
      <c r="W922" s="62">
        <f>W923</f>
        <v>15130</v>
      </c>
      <c r="X922" s="62">
        <f>X923</f>
        <v>0</v>
      </c>
    </row>
    <row r="923" spans="1:24" s="13" customFormat="1" ht="15.75">
      <c r="A923" s="237" t="s">
        <v>226</v>
      </c>
      <c r="B923" s="51"/>
      <c r="C923" s="48" t="s">
        <v>172</v>
      </c>
      <c r="D923" s="48" t="s">
        <v>158</v>
      </c>
      <c r="E923" s="49" t="s">
        <v>592</v>
      </c>
      <c r="F923" s="56" t="s">
        <v>188</v>
      </c>
      <c r="G923" s="62">
        <f>G924</f>
        <v>15130</v>
      </c>
      <c r="H923" s="31"/>
      <c r="I923" s="31"/>
      <c r="J923" s="31"/>
      <c r="K923" s="31"/>
      <c r="L923" s="31"/>
      <c r="M923" s="31"/>
      <c r="N923" s="31"/>
      <c r="O923" s="31"/>
      <c r="P923" s="31"/>
      <c r="Q923" s="32"/>
      <c r="R923" s="31"/>
      <c r="S923" s="31"/>
      <c r="T923" s="31"/>
      <c r="U923" s="31"/>
      <c r="V923" s="31"/>
      <c r="W923" s="62">
        <f>W924</f>
        <v>15130</v>
      </c>
      <c r="X923" s="62">
        <f>X924</f>
        <v>0</v>
      </c>
    </row>
    <row r="924" spans="1:24" s="13" customFormat="1" ht="15.75">
      <c r="A924" s="237" t="s">
        <v>189</v>
      </c>
      <c r="B924" s="51"/>
      <c r="C924" s="48" t="s">
        <v>172</v>
      </c>
      <c r="D924" s="48" t="s">
        <v>158</v>
      </c>
      <c r="E924" s="49" t="s">
        <v>592</v>
      </c>
      <c r="F924" s="56" t="s">
        <v>187</v>
      </c>
      <c r="G924" s="62">
        <f>13282+1618+230</f>
        <v>15130</v>
      </c>
      <c r="H924" s="31"/>
      <c r="I924" s="31"/>
      <c r="J924" s="31"/>
      <c r="K924" s="31"/>
      <c r="L924" s="31"/>
      <c r="M924" s="31"/>
      <c r="N924" s="31"/>
      <c r="O924" s="31"/>
      <c r="P924" s="31"/>
      <c r="Q924" s="32"/>
      <c r="R924" s="31"/>
      <c r="S924" s="31"/>
      <c r="T924" s="31"/>
      <c r="U924" s="31"/>
      <c r="V924" s="31"/>
      <c r="W924" s="62">
        <f>13282+1618+230</f>
        <v>15130</v>
      </c>
      <c r="X924" s="62">
        <f>G924-W924</f>
        <v>0</v>
      </c>
    </row>
    <row r="925" spans="1:24" s="13" customFormat="1" ht="15.75">
      <c r="A925" s="239" t="s">
        <v>711</v>
      </c>
      <c r="B925" s="51"/>
      <c r="C925" s="45" t="s">
        <v>172</v>
      </c>
      <c r="D925" s="45" t="s">
        <v>172</v>
      </c>
      <c r="E925" s="49"/>
      <c r="F925" s="56"/>
      <c r="G925" s="58">
        <f>G926</f>
        <v>2300</v>
      </c>
      <c r="H925" s="58">
        <f aca="true" t="shared" si="56" ref="H925:X925">H926</f>
        <v>0</v>
      </c>
      <c r="I925" s="58">
        <f t="shared" si="56"/>
        <v>0</v>
      </c>
      <c r="J925" s="58">
        <f t="shared" si="56"/>
        <v>0</v>
      </c>
      <c r="K925" s="58">
        <f t="shared" si="56"/>
        <v>0</v>
      </c>
      <c r="L925" s="58">
        <f t="shared" si="56"/>
        <v>0</v>
      </c>
      <c r="M925" s="58">
        <f t="shared" si="56"/>
        <v>0</v>
      </c>
      <c r="N925" s="58">
        <f t="shared" si="56"/>
        <v>0</v>
      </c>
      <c r="O925" s="58">
        <f t="shared" si="56"/>
        <v>0</v>
      </c>
      <c r="P925" s="58">
        <f t="shared" si="56"/>
        <v>0</v>
      </c>
      <c r="Q925" s="58">
        <f t="shared" si="56"/>
        <v>0</v>
      </c>
      <c r="R925" s="58">
        <f t="shared" si="56"/>
        <v>0</v>
      </c>
      <c r="S925" s="58">
        <f t="shared" si="56"/>
        <v>0</v>
      </c>
      <c r="T925" s="58">
        <f t="shared" si="56"/>
        <v>0</v>
      </c>
      <c r="U925" s="58">
        <f t="shared" si="56"/>
        <v>0</v>
      </c>
      <c r="V925" s="58">
        <f t="shared" si="56"/>
        <v>0</v>
      </c>
      <c r="W925" s="58">
        <f t="shared" si="56"/>
        <v>0</v>
      </c>
      <c r="X925" s="58">
        <f t="shared" si="56"/>
        <v>2300</v>
      </c>
    </row>
    <row r="926" spans="1:24" s="13" customFormat="1" ht="15.75">
      <c r="A926" s="276" t="s">
        <v>512</v>
      </c>
      <c r="B926" s="54"/>
      <c r="C926" s="45" t="s">
        <v>172</v>
      </c>
      <c r="D926" s="45" t="s">
        <v>172</v>
      </c>
      <c r="E926" s="52" t="s">
        <v>511</v>
      </c>
      <c r="F926" s="57"/>
      <c r="G926" s="58">
        <f>G928</f>
        <v>2300</v>
      </c>
      <c r="H926" s="31"/>
      <c r="I926" s="31"/>
      <c r="J926" s="31"/>
      <c r="K926" s="31"/>
      <c r="L926" s="31"/>
      <c r="M926" s="31"/>
      <c r="N926" s="31"/>
      <c r="O926" s="31"/>
      <c r="P926" s="31"/>
      <c r="Q926" s="32"/>
      <c r="R926" s="31"/>
      <c r="S926" s="31"/>
      <c r="T926" s="31"/>
      <c r="U926" s="31"/>
      <c r="V926" s="31"/>
      <c r="W926" s="58">
        <f>W928</f>
        <v>0</v>
      </c>
      <c r="X926" s="58">
        <f>X928</f>
        <v>2300</v>
      </c>
    </row>
    <row r="927" spans="1:24" s="31" customFormat="1" ht="31.5">
      <c r="A927" s="252" t="s">
        <v>713</v>
      </c>
      <c r="B927" s="51"/>
      <c r="C927" s="45" t="s">
        <v>172</v>
      </c>
      <c r="D927" s="45" t="s">
        <v>172</v>
      </c>
      <c r="E927" s="52" t="s">
        <v>278</v>
      </c>
      <c r="F927" s="56"/>
      <c r="G927" s="62">
        <f aca="true" t="shared" si="57" ref="G927:X927">G928</f>
        <v>2300</v>
      </c>
      <c r="H927" s="62">
        <f t="shared" si="57"/>
        <v>0</v>
      </c>
      <c r="I927" s="62">
        <f t="shared" si="57"/>
        <v>0</v>
      </c>
      <c r="J927" s="62">
        <f t="shared" si="57"/>
        <v>0</v>
      </c>
      <c r="K927" s="62">
        <f t="shared" si="57"/>
        <v>0</v>
      </c>
      <c r="L927" s="62">
        <f t="shared" si="57"/>
        <v>0</v>
      </c>
      <c r="M927" s="62">
        <f t="shared" si="57"/>
        <v>0</v>
      </c>
      <c r="N927" s="62">
        <f t="shared" si="57"/>
        <v>0</v>
      </c>
      <c r="O927" s="62">
        <f t="shared" si="57"/>
        <v>0</v>
      </c>
      <c r="P927" s="62">
        <f t="shared" si="57"/>
        <v>0</v>
      </c>
      <c r="Q927" s="62">
        <f t="shared" si="57"/>
        <v>0</v>
      </c>
      <c r="R927" s="62">
        <f t="shared" si="57"/>
        <v>0</v>
      </c>
      <c r="S927" s="62">
        <f t="shared" si="57"/>
        <v>0</v>
      </c>
      <c r="T927" s="62">
        <f t="shared" si="57"/>
        <v>0</v>
      </c>
      <c r="U927" s="62">
        <f t="shared" si="57"/>
        <v>0</v>
      </c>
      <c r="V927" s="62">
        <f t="shared" si="57"/>
        <v>0</v>
      </c>
      <c r="W927" s="62">
        <f t="shared" si="57"/>
        <v>0</v>
      </c>
      <c r="X927" s="62">
        <f t="shared" si="57"/>
        <v>2300</v>
      </c>
    </row>
    <row r="928" spans="1:24" s="13" customFormat="1" ht="20.25" customHeight="1">
      <c r="A928" s="257" t="s">
        <v>693</v>
      </c>
      <c r="B928" s="55"/>
      <c r="C928" s="48" t="s">
        <v>172</v>
      </c>
      <c r="D928" s="48" t="s">
        <v>172</v>
      </c>
      <c r="E928" s="49" t="s">
        <v>712</v>
      </c>
      <c r="F928" s="56"/>
      <c r="G928" s="62">
        <f>G929</f>
        <v>2300</v>
      </c>
      <c r="H928" s="31"/>
      <c r="I928" s="31"/>
      <c r="J928" s="31"/>
      <c r="K928" s="31"/>
      <c r="L928" s="31"/>
      <c r="M928" s="31"/>
      <c r="N928" s="31"/>
      <c r="O928" s="31"/>
      <c r="P928" s="31"/>
      <c r="Q928" s="32"/>
      <c r="R928" s="31"/>
      <c r="S928" s="31"/>
      <c r="T928" s="31"/>
      <c r="U928" s="31"/>
      <c r="V928" s="31"/>
      <c r="W928" s="62">
        <f>W929</f>
        <v>0</v>
      </c>
      <c r="X928" s="62">
        <f>X929</f>
        <v>2300</v>
      </c>
    </row>
    <row r="929" spans="1:24" s="13" customFormat="1" ht="15.75">
      <c r="A929" s="163" t="s">
        <v>227</v>
      </c>
      <c r="B929" s="55"/>
      <c r="C929" s="48" t="s">
        <v>172</v>
      </c>
      <c r="D929" s="48" t="s">
        <v>172</v>
      </c>
      <c r="E929" s="49" t="s">
        <v>712</v>
      </c>
      <c r="F929" s="56" t="s">
        <v>199</v>
      </c>
      <c r="G929" s="62">
        <f>G930</f>
        <v>2300</v>
      </c>
      <c r="H929" s="31"/>
      <c r="I929" s="31"/>
      <c r="J929" s="31"/>
      <c r="K929" s="31"/>
      <c r="L929" s="31"/>
      <c r="M929" s="31"/>
      <c r="N929" s="31"/>
      <c r="O929" s="31"/>
      <c r="P929" s="31"/>
      <c r="Q929" s="32"/>
      <c r="R929" s="31"/>
      <c r="S929" s="31"/>
      <c r="T929" s="31"/>
      <c r="U929" s="31"/>
      <c r="V929" s="31"/>
      <c r="W929" s="62">
        <f>W930</f>
        <v>0</v>
      </c>
      <c r="X929" s="62">
        <f>X930</f>
        <v>2300</v>
      </c>
    </row>
    <row r="930" spans="1:24" s="13" customFormat="1" ht="15.75">
      <c r="A930" s="271" t="s">
        <v>179</v>
      </c>
      <c r="B930" s="55"/>
      <c r="C930" s="48" t="s">
        <v>172</v>
      </c>
      <c r="D930" s="48" t="s">
        <v>172</v>
      </c>
      <c r="E930" s="49" t="s">
        <v>712</v>
      </c>
      <c r="F930" s="56" t="s">
        <v>200</v>
      </c>
      <c r="G930" s="62">
        <v>2300</v>
      </c>
      <c r="H930" s="31"/>
      <c r="I930" s="31"/>
      <c r="J930" s="31"/>
      <c r="K930" s="31"/>
      <c r="L930" s="31"/>
      <c r="M930" s="31"/>
      <c r="N930" s="31"/>
      <c r="O930" s="31"/>
      <c r="P930" s="31"/>
      <c r="Q930" s="32"/>
      <c r="R930" s="31"/>
      <c r="S930" s="31"/>
      <c r="T930" s="31"/>
      <c r="U930" s="31"/>
      <c r="V930" s="31"/>
      <c r="W930" s="62">
        <v>0</v>
      </c>
      <c r="X930" s="62">
        <f>G930-W930</f>
        <v>2300</v>
      </c>
    </row>
    <row r="931" spans="1:24" s="13" customFormat="1" ht="15.75">
      <c r="A931" s="234" t="s">
        <v>509</v>
      </c>
      <c r="B931" s="47"/>
      <c r="C931" s="45" t="s">
        <v>130</v>
      </c>
      <c r="D931" s="299" t="s">
        <v>175</v>
      </c>
      <c r="E931" s="298" t="s">
        <v>175</v>
      </c>
      <c r="F931" s="299" t="s">
        <v>175</v>
      </c>
      <c r="G931" s="58">
        <f>G932</f>
        <v>3500</v>
      </c>
      <c r="H931" s="31"/>
      <c r="I931" s="31"/>
      <c r="J931" s="31"/>
      <c r="K931" s="31"/>
      <c r="L931" s="31"/>
      <c r="M931" s="31"/>
      <c r="N931" s="31"/>
      <c r="O931" s="31"/>
      <c r="P931" s="31"/>
      <c r="Q931" s="32"/>
      <c r="R931" s="31"/>
      <c r="S931" s="31"/>
      <c r="T931" s="31"/>
      <c r="U931" s="31"/>
      <c r="V931" s="31"/>
      <c r="W931" s="58">
        <f>W932</f>
        <v>3500</v>
      </c>
      <c r="X931" s="58">
        <f aca="true" t="shared" si="58" ref="X931:X942">X932</f>
        <v>0</v>
      </c>
    </row>
    <row r="932" spans="1:24" s="13" customFormat="1" ht="15.75">
      <c r="A932" s="258" t="s">
        <v>508</v>
      </c>
      <c r="B932" s="51"/>
      <c r="C932" s="45" t="s">
        <v>130</v>
      </c>
      <c r="D932" s="45" t="s">
        <v>172</v>
      </c>
      <c r="E932" s="52"/>
      <c r="F932" s="57"/>
      <c r="G932" s="58">
        <f>G933</f>
        <v>3500</v>
      </c>
      <c r="H932" s="31"/>
      <c r="I932" s="31"/>
      <c r="J932" s="31"/>
      <c r="K932" s="31"/>
      <c r="L932" s="31"/>
      <c r="M932" s="31"/>
      <c r="N932" s="31"/>
      <c r="O932" s="31"/>
      <c r="P932" s="31"/>
      <c r="Q932" s="32"/>
      <c r="R932" s="31"/>
      <c r="S932" s="31"/>
      <c r="T932" s="31"/>
      <c r="U932" s="31"/>
      <c r="V932" s="31"/>
      <c r="W932" s="58">
        <f>W933</f>
        <v>3500</v>
      </c>
      <c r="X932" s="58">
        <f t="shared" si="58"/>
        <v>0</v>
      </c>
    </row>
    <row r="933" spans="1:24" s="13" customFormat="1" ht="15.75">
      <c r="A933" s="252" t="s">
        <v>446</v>
      </c>
      <c r="B933" s="54"/>
      <c r="C933" s="45" t="s">
        <v>130</v>
      </c>
      <c r="D933" s="45" t="s">
        <v>172</v>
      </c>
      <c r="E933" s="52" t="s">
        <v>17</v>
      </c>
      <c r="F933" s="57"/>
      <c r="G933" s="58">
        <f>G934</f>
        <v>3500</v>
      </c>
      <c r="H933" s="31"/>
      <c r="I933" s="31"/>
      <c r="J933" s="31"/>
      <c r="K933" s="31"/>
      <c r="L933" s="31"/>
      <c r="M933" s="31"/>
      <c r="N933" s="31"/>
      <c r="O933" s="31"/>
      <c r="P933" s="31"/>
      <c r="Q933" s="32"/>
      <c r="R933" s="31"/>
      <c r="S933" s="31"/>
      <c r="T933" s="31"/>
      <c r="U933" s="31"/>
      <c r="V933" s="31"/>
      <c r="W933" s="58">
        <f>W934</f>
        <v>3500</v>
      </c>
      <c r="X933" s="58">
        <f t="shared" si="58"/>
        <v>0</v>
      </c>
    </row>
    <row r="934" spans="1:24" s="13" customFormat="1" ht="31.5">
      <c r="A934" s="257" t="s">
        <v>507</v>
      </c>
      <c r="B934" s="55"/>
      <c r="C934" s="48" t="s">
        <v>130</v>
      </c>
      <c r="D934" s="48" t="s">
        <v>172</v>
      </c>
      <c r="E934" s="49" t="s">
        <v>506</v>
      </c>
      <c r="F934" s="56"/>
      <c r="G934" s="62">
        <f>G935</f>
        <v>3500</v>
      </c>
      <c r="H934" s="31"/>
      <c r="I934" s="31"/>
      <c r="J934" s="31"/>
      <c r="K934" s="31"/>
      <c r="L934" s="31"/>
      <c r="M934" s="31"/>
      <c r="N934" s="31"/>
      <c r="O934" s="31"/>
      <c r="P934" s="31"/>
      <c r="Q934" s="32"/>
      <c r="R934" s="31"/>
      <c r="S934" s="31"/>
      <c r="T934" s="31"/>
      <c r="U934" s="31"/>
      <c r="V934" s="31"/>
      <c r="W934" s="62">
        <f>W935</f>
        <v>3500</v>
      </c>
      <c r="X934" s="62">
        <f t="shared" si="58"/>
        <v>0</v>
      </c>
    </row>
    <row r="935" spans="1:24" s="13" customFormat="1" ht="15.75">
      <c r="A935" s="237" t="s">
        <v>226</v>
      </c>
      <c r="B935" s="55"/>
      <c r="C935" s="48" t="s">
        <v>130</v>
      </c>
      <c r="D935" s="48" t="s">
        <v>172</v>
      </c>
      <c r="E935" s="49" t="s">
        <v>506</v>
      </c>
      <c r="F935" s="56" t="s">
        <v>188</v>
      </c>
      <c r="G935" s="62">
        <f>G936</f>
        <v>3500</v>
      </c>
      <c r="H935" s="31"/>
      <c r="I935" s="31"/>
      <c r="J935" s="31"/>
      <c r="K935" s="31"/>
      <c r="L935" s="31"/>
      <c r="M935" s="31"/>
      <c r="N935" s="31"/>
      <c r="O935" s="31"/>
      <c r="P935" s="31"/>
      <c r="Q935" s="32"/>
      <c r="R935" s="31"/>
      <c r="S935" s="31"/>
      <c r="T935" s="31"/>
      <c r="U935" s="31"/>
      <c r="V935" s="31"/>
      <c r="W935" s="62">
        <f>W936</f>
        <v>3500</v>
      </c>
      <c r="X935" s="62">
        <f t="shared" si="58"/>
        <v>0</v>
      </c>
    </row>
    <row r="936" spans="1:24" s="13" customFormat="1" ht="15.75">
      <c r="A936" s="237" t="s">
        <v>189</v>
      </c>
      <c r="B936" s="55"/>
      <c r="C936" s="48" t="s">
        <v>130</v>
      </c>
      <c r="D936" s="48" t="s">
        <v>172</v>
      </c>
      <c r="E936" s="49" t="s">
        <v>506</v>
      </c>
      <c r="F936" s="56" t="s">
        <v>187</v>
      </c>
      <c r="G936" s="62">
        <v>3500</v>
      </c>
      <c r="H936" s="31"/>
      <c r="I936" s="31"/>
      <c r="J936" s="31"/>
      <c r="K936" s="31"/>
      <c r="L936" s="31"/>
      <c r="M936" s="31"/>
      <c r="N936" s="31"/>
      <c r="O936" s="31"/>
      <c r="P936" s="31"/>
      <c r="Q936" s="32"/>
      <c r="R936" s="31"/>
      <c r="S936" s="31"/>
      <c r="T936" s="31"/>
      <c r="U936" s="31"/>
      <c r="V936" s="31"/>
      <c r="W936" s="62">
        <v>3500</v>
      </c>
      <c r="X936" s="62">
        <f>G936-W936</f>
        <v>0</v>
      </c>
    </row>
    <row r="937" spans="1:24" s="13" customFormat="1" ht="15.75">
      <c r="A937" s="234" t="s">
        <v>166</v>
      </c>
      <c r="B937" s="47"/>
      <c r="C937" s="45" t="s">
        <v>129</v>
      </c>
      <c r="D937" s="299" t="s">
        <v>175</v>
      </c>
      <c r="E937" s="298" t="s">
        <v>175</v>
      </c>
      <c r="F937" s="299" t="s">
        <v>175</v>
      </c>
      <c r="G937" s="58">
        <f>G938</f>
        <v>4041.54</v>
      </c>
      <c r="H937" s="31"/>
      <c r="I937" s="31"/>
      <c r="J937" s="31"/>
      <c r="K937" s="31"/>
      <c r="L937" s="31"/>
      <c r="M937" s="31"/>
      <c r="N937" s="31"/>
      <c r="O937" s="31"/>
      <c r="P937" s="31"/>
      <c r="Q937" s="32"/>
      <c r="R937" s="31"/>
      <c r="S937" s="31"/>
      <c r="T937" s="31"/>
      <c r="U937" s="31"/>
      <c r="V937" s="31"/>
      <c r="W937" s="58">
        <f>W938</f>
        <v>3580.54</v>
      </c>
      <c r="X937" s="58">
        <f t="shared" si="58"/>
        <v>461</v>
      </c>
    </row>
    <row r="938" spans="1:24" s="13" customFormat="1" ht="15.75">
      <c r="A938" s="258" t="s">
        <v>167</v>
      </c>
      <c r="B938" s="51"/>
      <c r="C938" s="45" t="s">
        <v>129</v>
      </c>
      <c r="D938" s="45" t="s">
        <v>171</v>
      </c>
      <c r="E938" s="52"/>
      <c r="F938" s="57"/>
      <c r="G938" s="58">
        <f>G939</f>
        <v>4041.54</v>
      </c>
      <c r="H938" s="31"/>
      <c r="I938" s="31"/>
      <c r="J938" s="31"/>
      <c r="K938" s="31"/>
      <c r="L938" s="31"/>
      <c r="M938" s="31"/>
      <c r="N938" s="31"/>
      <c r="O938" s="31"/>
      <c r="P938" s="31"/>
      <c r="Q938" s="32"/>
      <c r="R938" s="31"/>
      <c r="S938" s="31"/>
      <c r="T938" s="31"/>
      <c r="U938" s="31"/>
      <c r="V938" s="31"/>
      <c r="W938" s="58">
        <f>W939</f>
        <v>3580.54</v>
      </c>
      <c r="X938" s="58">
        <f t="shared" si="58"/>
        <v>461</v>
      </c>
    </row>
    <row r="939" spans="1:24" s="13" customFormat="1" ht="15.75">
      <c r="A939" s="276" t="s">
        <v>512</v>
      </c>
      <c r="B939" s="54"/>
      <c r="C939" s="45" t="s">
        <v>129</v>
      </c>
      <c r="D939" s="45" t="s">
        <v>171</v>
      </c>
      <c r="E939" s="52" t="s">
        <v>511</v>
      </c>
      <c r="F939" s="57"/>
      <c r="G939" s="58">
        <f>G941</f>
        <v>4041.54</v>
      </c>
      <c r="H939" s="31"/>
      <c r="I939" s="31"/>
      <c r="J939" s="31"/>
      <c r="K939" s="31"/>
      <c r="L939" s="31"/>
      <c r="M939" s="31"/>
      <c r="N939" s="31"/>
      <c r="O939" s="31"/>
      <c r="P939" s="31"/>
      <c r="Q939" s="32"/>
      <c r="R939" s="31"/>
      <c r="S939" s="31"/>
      <c r="T939" s="31"/>
      <c r="U939" s="31"/>
      <c r="V939" s="31"/>
      <c r="W939" s="58">
        <f>W941</f>
        <v>3580.54</v>
      </c>
      <c r="X939" s="58">
        <f>X941</f>
        <v>461</v>
      </c>
    </row>
    <row r="940" spans="1:24" s="31" customFormat="1" ht="15.75">
      <c r="A940" s="252" t="s">
        <v>513</v>
      </c>
      <c r="B940" s="51"/>
      <c r="C940" s="45" t="s">
        <v>129</v>
      </c>
      <c r="D940" s="45" t="s">
        <v>171</v>
      </c>
      <c r="E940" s="52" t="s">
        <v>281</v>
      </c>
      <c r="F940" s="56"/>
      <c r="G940" s="62">
        <f>G941</f>
        <v>4041.54</v>
      </c>
      <c r="H940" s="62">
        <f aca="true" t="shared" si="59" ref="H940:X940">H941</f>
        <v>0</v>
      </c>
      <c r="I940" s="62">
        <f t="shared" si="59"/>
        <v>0</v>
      </c>
      <c r="J940" s="62">
        <f t="shared" si="59"/>
        <v>0</v>
      </c>
      <c r="K940" s="62">
        <f t="shared" si="59"/>
        <v>0</v>
      </c>
      <c r="L940" s="62">
        <f t="shared" si="59"/>
        <v>0</v>
      </c>
      <c r="M940" s="62">
        <f t="shared" si="59"/>
        <v>0</v>
      </c>
      <c r="N940" s="62">
        <f t="shared" si="59"/>
        <v>0</v>
      </c>
      <c r="O940" s="62">
        <f t="shared" si="59"/>
        <v>0</v>
      </c>
      <c r="P940" s="62">
        <f t="shared" si="59"/>
        <v>0</v>
      </c>
      <c r="Q940" s="62">
        <f t="shared" si="59"/>
        <v>0</v>
      </c>
      <c r="R940" s="62">
        <f t="shared" si="59"/>
        <v>0</v>
      </c>
      <c r="S940" s="62">
        <f t="shared" si="59"/>
        <v>0</v>
      </c>
      <c r="T940" s="62">
        <f t="shared" si="59"/>
        <v>0</v>
      </c>
      <c r="U940" s="62">
        <f t="shared" si="59"/>
        <v>0</v>
      </c>
      <c r="V940" s="62">
        <f t="shared" si="59"/>
        <v>0</v>
      </c>
      <c r="W940" s="62">
        <f>W941</f>
        <v>3580.54</v>
      </c>
      <c r="X940" s="62">
        <f t="shared" si="59"/>
        <v>461</v>
      </c>
    </row>
    <row r="941" spans="1:24" s="13" customFormat="1" ht="15.75">
      <c r="A941" s="257" t="s">
        <v>693</v>
      </c>
      <c r="B941" s="55"/>
      <c r="C941" s="48" t="s">
        <v>129</v>
      </c>
      <c r="D941" s="48" t="s">
        <v>171</v>
      </c>
      <c r="E941" s="49" t="s">
        <v>692</v>
      </c>
      <c r="F941" s="56"/>
      <c r="G941" s="62">
        <f>G942</f>
        <v>4041.54</v>
      </c>
      <c r="H941" s="31"/>
      <c r="I941" s="31"/>
      <c r="J941" s="31"/>
      <c r="K941" s="31"/>
      <c r="L941" s="31"/>
      <c r="M941" s="31"/>
      <c r="N941" s="31"/>
      <c r="O941" s="31"/>
      <c r="P941" s="31"/>
      <c r="Q941" s="32"/>
      <c r="R941" s="31"/>
      <c r="S941" s="31"/>
      <c r="T941" s="31"/>
      <c r="U941" s="31"/>
      <c r="V941" s="31"/>
      <c r="W941" s="62">
        <f>W942</f>
        <v>3580.54</v>
      </c>
      <c r="X941" s="62">
        <f t="shared" si="58"/>
        <v>461</v>
      </c>
    </row>
    <row r="942" spans="1:24" s="13" customFormat="1" ht="15.75">
      <c r="A942" s="163" t="s">
        <v>227</v>
      </c>
      <c r="B942" s="55"/>
      <c r="C942" s="48" t="s">
        <v>129</v>
      </c>
      <c r="D942" s="48" t="s">
        <v>171</v>
      </c>
      <c r="E942" s="49" t="s">
        <v>692</v>
      </c>
      <c r="F942" s="56" t="s">
        <v>199</v>
      </c>
      <c r="G942" s="62">
        <f>G943</f>
        <v>4041.54</v>
      </c>
      <c r="H942" s="31"/>
      <c r="I942" s="31"/>
      <c r="J942" s="31"/>
      <c r="K942" s="31"/>
      <c r="L942" s="31"/>
      <c r="M942" s="31"/>
      <c r="N942" s="31"/>
      <c r="O942" s="31"/>
      <c r="P942" s="31"/>
      <c r="Q942" s="32"/>
      <c r="R942" s="31"/>
      <c r="S942" s="31"/>
      <c r="T942" s="31"/>
      <c r="U942" s="31"/>
      <c r="V942" s="31"/>
      <c r="W942" s="62">
        <f>W943</f>
        <v>3580.54</v>
      </c>
      <c r="X942" s="62">
        <f t="shared" si="58"/>
        <v>461</v>
      </c>
    </row>
    <row r="943" spans="1:24" s="13" customFormat="1" ht="15.75">
      <c r="A943" s="271" t="s">
        <v>179</v>
      </c>
      <c r="B943" s="55"/>
      <c r="C943" s="48" t="s">
        <v>129</v>
      </c>
      <c r="D943" s="48" t="s">
        <v>171</v>
      </c>
      <c r="E943" s="49" t="s">
        <v>692</v>
      </c>
      <c r="F943" s="56" t="s">
        <v>200</v>
      </c>
      <c r="G943" s="62">
        <f>3580.54+461</f>
        <v>4041.54</v>
      </c>
      <c r="H943" s="31"/>
      <c r="I943" s="31"/>
      <c r="J943" s="31"/>
      <c r="K943" s="31"/>
      <c r="L943" s="31"/>
      <c r="M943" s="31"/>
      <c r="N943" s="31"/>
      <c r="O943" s="31"/>
      <c r="P943" s="31"/>
      <c r="Q943" s="32"/>
      <c r="R943" s="31"/>
      <c r="S943" s="31"/>
      <c r="T943" s="31"/>
      <c r="U943" s="31"/>
      <c r="V943" s="31"/>
      <c r="W943" s="62">
        <v>3580.54</v>
      </c>
      <c r="X943" s="62">
        <f>G943-W943</f>
        <v>461</v>
      </c>
    </row>
    <row r="944" spans="1:24" s="13" customFormat="1" ht="15.75">
      <c r="A944" s="234" t="s">
        <v>155</v>
      </c>
      <c r="B944" s="51"/>
      <c r="C944" s="45" t="s">
        <v>127</v>
      </c>
      <c r="D944" s="45"/>
      <c r="E944" s="52"/>
      <c r="F944" s="57"/>
      <c r="G944" s="58">
        <f>G945</f>
        <v>22432.8</v>
      </c>
      <c r="H944" s="31"/>
      <c r="I944" s="31"/>
      <c r="J944" s="31"/>
      <c r="K944" s="31"/>
      <c r="L944" s="31"/>
      <c r="M944" s="31"/>
      <c r="N944" s="31"/>
      <c r="O944" s="31"/>
      <c r="P944" s="31"/>
      <c r="Q944" s="32"/>
      <c r="R944" s="31"/>
      <c r="S944" s="31"/>
      <c r="T944" s="31"/>
      <c r="U944" s="31"/>
      <c r="V944" s="31"/>
      <c r="W944" s="58">
        <f>W945</f>
        <v>22432.8</v>
      </c>
      <c r="X944" s="58">
        <f>X945</f>
        <v>0</v>
      </c>
    </row>
    <row r="945" spans="1:24" s="13" customFormat="1" ht="15.75">
      <c r="A945" s="234" t="s">
        <v>124</v>
      </c>
      <c r="B945" s="51"/>
      <c r="C945" s="45" t="s">
        <v>127</v>
      </c>
      <c r="D945" s="45" t="s">
        <v>158</v>
      </c>
      <c r="E945" s="52"/>
      <c r="F945" s="57"/>
      <c r="G945" s="58">
        <f>G946</f>
        <v>22432.8</v>
      </c>
      <c r="H945" s="31"/>
      <c r="I945" s="31"/>
      <c r="J945" s="31"/>
      <c r="K945" s="31"/>
      <c r="L945" s="31"/>
      <c r="M945" s="31"/>
      <c r="N945" s="31"/>
      <c r="O945" s="31"/>
      <c r="P945" s="31"/>
      <c r="Q945" s="32"/>
      <c r="R945" s="31"/>
      <c r="S945" s="31"/>
      <c r="T945" s="31"/>
      <c r="U945" s="31"/>
      <c r="V945" s="31"/>
      <c r="W945" s="58">
        <f>W946</f>
        <v>22432.8</v>
      </c>
      <c r="X945" s="58">
        <f>X946</f>
        <v>0</v>
      </c>
    </row>
    <row r="946" spans="1:24" s="13" customFormat="1" ht="31.5">
      <c r="A946" s="258" t="s">
        <v>438</v>
      </c>
      <c r="B946" s="51"/>
      <c r="C946" s="45" t="s">
        <v>127</v>
      </c>
      <c r="D946" s="45" t="s">
        <v>158</v>
      </c>
      <c r="E946" s="52" t="s">
        <v>323</v>
      </c>
      <c r="F946" s="57"/>
      <c r="G946" s="58">
        <f>G947+G950</f>
        <v>22432.8</v>
      </c>
      <c r="H946" s="31"/>
      <c r="I946" s="31"/>
      <c r="J946" s="31"/>
      <c r="K946" s="31"/>
      <c r="L946" s="31"/>
      <c r="M946" s="31"/>
      <c r="N946" s="31"/>
      <c r="O946" s="31"/>
      <c r="P946" s="31"/>
      <c r="Q946" s="32"/>
      <c r="R946" s="31"/>
      <c r="S946" s="31"/>
      <c r="T946" s="31"/>
      <c r="U946" s="31"/>
      <c r="V946" s="31"/>
      <c r="W946" s="58">
        <f>W947+W950</f>
        <v>22432.8</v>
      </c>
      <c r="X946" s="58">
        <f>X947+X950</f>
        <v>0</v>
      </c>
    </row>
    <row r="947" spans="1:24" s="13" customFormat="1" ht="63">
      <c r="A947" s="287" t="s">
        <v>326</v>
      </c>
      <c r="B947" s="51"/>
      <c r="C947" s="48" t="s">
        <v>127</v>
      </c>
      <c r="D947" s="48" t="s">
        <v>158</v>
      </c>
      <c r="E947" s="49" t="s">
        <v>324</v>
      </c>
      <c r="F947" s="56"/>
      <c r="G947" s="62">
        <f>G948</f>
        <v>21984.1</v>
      </c>
      <c r="H947" s="31"/>
      <c r="I947" s="31"/>
      <c r="J947" s="31"/>
      <c r="K947" s="31"/>
      <c r="L947" s="31"/>
      <c r="M947" s="31"/>
      <c r="N947" s="31"/>
      <c r="O947" s="31"/>
      <c r="P947" s="31"/>
      <c r="Q947" s="32"/>
      <c r="R947" s="31"/>
      <c r="S947" s="31"/>
      <c r="T947" s="31"/>
      <c r="U947" s="31"/>
      <c r="V947" s="31"/>
      <c r="W947" s="62">
        <f>W948</f>
        <v>21984.1</v>
      </c>
      <c r="X947" s="62">
        <f>X948</f>
        <v>0</v>
      </c>
    </row>
    <row r="948" spans="1:24" s="13" customFormat="1" ht="15.75">
      <c r="A948" s="237" t="s">
        <v>89</v>
      </c>
      <c r="B948" s="47"/>
      <c r="C948" s="48" t="s">
        <v>127</v>
      </c>
      <c r="D948" s="48" t="s">
        <v>158</v>
      </c>
      <c r="E948" s="49" t="s">
        <v>324</v>
      </c>
      <c r="F948" s="56" t="s">
        <v>85</v>
      </c>
      <c r="G948" s="62">
        <f>G949</f>
        <v>21984.1</v>
      </c>
      <c r="H948" s="31"/>
      <c r="I948" s="31"/>
      <c r="J948" s="31"/>
      <c r="K948" s="31"/>
      <c r="L948" s="31"/>
      <c r="M948" s="31"/>
      <c r="N948" s="31"/>
      <c r="O948" s="31"/>
      <c r="P948" s="31"/>
      <c r="Q948" s="32"/>
      <c r="R948" s="31"/>
      <c r="S948" s="31"/>
      <c r="T948" s="31"/>
      <c r="U948" s="31"/>
      <c r="V948" s="31"/>
      <c r="W948" s="62">
        <f>W949</f>
        <v>21984.1</v>
      </c>
      <c r="X948" s="62">
        <f>X949</f>
        <v>0</v>
      </c>
    </row>
    <row r="949" spans="1:24" s="13" customFormat="1" ht="15.75">
      <c r="A949" s="282" t="s">
        <v>84</v>
      </c>
      <c r="B949" s="55"/>
      <c r="C949" s="48" t="s">
        <v>127</v>
      </c>
      <c r="D949" s="48" t="s">
        <v>158</v>
      </c>
      <c r="E949" s="49" t="s">
        <v>324</v>
      </c>
      <c r="F949" s="56" t="s">
        <v>86</v>
      </c>
      <c r="G949" s="62">
        <v>21984.1</v>
      </c>
      <c r="H949" s="31"/>
      <c r="I949" s="31"/>
      <c r="J949" s="31"/>
      <c r="K949" s="31"/>
      <c r="L949" s="31"/>
      <c r="M949" s="31"/>
      <c r="N949" s="31"/>
      <c r="O949" s="31"/>
      <c r="P949" s="31"/>
      <c r="Q949" s="32"/>
      <c r="R949" s="348"/>
      <c r="S949" s="31"/>
      <c r="T949" s="31"/>
      <c r="U949" s="31"/>
      <c r="V949" s="31"/>
      <c r="W949" s="62">
        <v>21984.1</v>
      </c>
      <c r="X949" s="62">
        <f>G949-W949</f>
        <v>0</v>
      </c>
    </row>
    <row r="950" spans="1:24" s="13" customFormat="1" ht="47.25">
      <c r="A950" s="287" t="s">
        <v>327</v>
      </c>
      <c r="B950" s="51"/>
      <c r="C950" s="48" t="s">
        <v>127</v>
      </c>
      <c r="D950" s="48" t="s">
        <v>158</v>
      </c>
      <c r="E950" s="49" t="s">
        <v>325</v>
      </c>
      <c r="F950" s="56"/>
      <c r="G950" s="62">
        <f>G951</f>
        <v>448.7</v>
      </c>
      <c r="H950" s="31"/>
      <c r="I950" s="31"/>
      <c r="J950" s="31"/>
      <c r="K950" s="31"/>
      <c r="L950" s="31"/>
      <c r="M950" s="31"/>
      <c r="N950" s="31"/>
      <c r="O950" s="31"/>
      <c r="P950" s="31"/>
      <c r="Q950" s="32"/>
      <c r="R950" s="31"/>
      <c r="S950" s="31"/>
      <c r="T950" s="31"/>
      <c r="U950" s="31"/>
      <c r="V950" s="31"/>
      <c r="W950" s="62">
        <f>W951</f>
        <v>448.7</v>
      </c>
      <c r="X950" s="62">
        <f>X951</f>
        <v>0</v>
      </c>
    </row>
    <row r="951" spans="1:24" s="13" customFormat="1" ht="15.75">
      <c r="A951" s="237" t="s">
        <v>89</v>
      </c>
      <c r="B951" s="47"/>
      <c r="C951" s="48" t="s">
        <v>127</v>
      </c>
      <c r="D951" s="48" t="s">
        <v>158</v>
      </c>
      <c r="E951" s="49" t="s">
        <v>325</v>
      </c>
      <c r="F951" s="56" t="s">
        <v>85</v>
      </c>
      <c r="G951" s="62">
        <f>G952</f>
        <v>448.7</v>
      </c>
      <c r="H951" s="31"/>
      <c r="I951" s="31"/>
      <c r="J951" s="31"/>
      <c r="K951" s="31"/>
      <c r="L951" s="31"/>
      <c r="M951" s="31"/>
      <c r="N951" s="31"/>
      <c r="O951" s="31"/>
      <c r="P951" s="31"/>
      <c r="Q951" s="32"/>
      <c r="R951" s="31"/>
      <c r="S951" s="31"/>
      <c r="T951" s="31"/>
      <c r="U951" s="31"/>
      <c r="V951" s="31"/>
      <c r="W951" s="62">
        <f>W952</f>
        <v>448.7</v>
      </c>
      <c r="X951" s="62">
        <f>X952</f>
        <v>0</v>
      </c>
    </row>
    <row r="952" spans="1:24" s="13" customFormat="1" ht="15.75">
      <c r="A952" s="282" t="s">
        <v>84</v>
      </c>
      <c r="B952" s="55"/>
      <c r="C952" s="48" t="s">
        <v>127</v>
      </c>
      <c r="D952" s="48" t="s">
        <v>158</v>
      </c>
      <c r="E952" s="49" t="s">
        <v>325</v>
      </c>
      <c r="F952" s="56" t="s">
        <v>86</v>
      </c>
      <c r="G952" s="62">
        <v>448.7</v>
      </c>
      <c r="H952" s="31"/>
      <c r="I952" s="31"/>
      <c r="J952" s="31"/>
      <c r="K952" s="31"/>
      <c r="L952" s="31"/>
      <c r="M952" s="31"/>
      <c r="N952" s="31"/>
      <c r="O952" s="31"/>
      <c r="P952" s="31"/>
      <c r="Q952" s="32"/>
      <c r="R952" s="31"/>
      <c r="S952" s="31"/>
      <c r="T952" s="31"/>
      <c r="U952" s="31"/>
      <c r="V952" s="31"/>
      <c r="W952" s="62">
        <v>448.7</v>
      </c>
      <c r="X952" s="62">
        <f>G952-W952</f>
        <v>0</v>
      </c>
    </row>
    <row r="953" spans="1:24" s="13" customFormat="1" ht="15.75">
      <c r="A953" s="234" t="s">
        <v>162</v>
      </c>
      <c r="B953" s="47"/>
      <c r="C953" s="45" t="s">
        <v>156</v>
      </c>
      <c r="D953" s="299" t="s">
        <v>175</v>
      </c>
      <c r="E953" s="298" t="s">
        <v>175</v>
      </c>
      <c r="F953" s="299" t="s">
        <v>175</v>
      </c>
      <c r="G953" s="58">
        <f>G954</f>
        <v>2261.05</v>
      </c>
      <c r="H953" s="31"/>
      <c r="I953" s="31"/>
      <c r="J953" s="31"/>
      <c r="K953" s="31"/>
      <c r="L953" s="31"/>
      <c r="M953" s="31"/>
      <c r="N953" s="31"/>
      <c r="O953" s="31"/>
      <c r="P953" s="31"/>
      <c r="Q953" s="32"/>
      <c r="R953" s="31"/>
      <c r="S953" s="31"/>
      <c r="T953" s="31"/>
      <c r="U953" s="31"/>
      <c r="V953" s="31"/>
      <c r="W953" s="58">
        <f>W954</f>
        <v>2261.1</v>
      </c>
      <c r="X953" s="58">
        <f aca="true" t="shared" si="60" ref="X953:X958">X954</f>
        <v>-0.04999999999972715</v>
      </c>
    </row>
    <row r="954" spans="1:24" s="13" customFormat="1" ht="15.75">
      <c r="A954" s="258" t="s">
        <v>185</v>
      </c>
      <c r="B954" s="51"/>
      <c r="C954" s="45" t="s">
        <v>156</v>
      </c>
      <c r="D954" s="45" t="s">
        <v>171</v>
      </c>
      <c r="E954" s="52"/>
      <c r="F954" s="57"/>
      <c r="G954" s="58">
        <f>G955</f>
        <v>2261.05</v>
      </c>
      <c r="H954" s="31"/>
      <c r="I954" s="31"/>
      <c r="J954" s="31"/>
      <c r="K954" s="31"/>
      <c r="L954" s="31"/>
      <c r="M954" s="31"/>
      <c r="N954" s="31"/>
      <c r="O954" s="31"/>
      <c r="P954" s="31"/>
      <c r="Q954" s="32"/>
      <c r="R954" s="31"/>
      <c r="S954" s="31"/>
      <c r="T954" s="31"/>
      <c r="U954" s="31"/>
      <c r="V954" s="31"/>
      <c r="W954" s="58">
        <f>W955</f>
        <v>2261.1</v>
      </c>
      <c r="X954" s="58">
        <f t="shared" si="60"/>
        <v>-0.04999999999972715</v>
      </c>
    </row>
    <row r="955" spans="1:24" s="13" customFormat="1" ht="15.75">
      <c r="A955" s="276" t="s">
        <v>512</v>
      </c>
      <c r="B955" s="54"/>
      <c r="C955" s="45" t="s">
        <v>156</v>
      </c>
      <c r="D955" s="45" t="s">
        <v>171</v>
      </c>
      <c r="E955" s="52" t="s">
        <v>511</v>
      </c>
      <c r="F955" s="57"/>
      <c r="G955" s="58">
        <f>G957</f>
        <v>2261.05</v>
      </c>
      <c r="H955" s="31"/>
      <c r="I955" s="31"/>
      <c r="J955" s="31"/>
      <c r="K955" s="31"/>
      <c r="L955" s="31"/>
      <c r="M955" s="31"/>
      <c r="N955" s="31"/>
      <c r="O955" s="31"/>
      <c r="P955" s="31"/>
      <c r="Q955" s="32"/>
      <c r="R955" s="31"/>
      <c r="S955" s="31"/>
      <c r="T955" s="31"/>
      <c r="U955" s="31"/>
      <c r="V955" s="31"/>
      <c r="W955" s="58">
        <f>W957</f>
        <v>2261.1</v>
      </c>
      <c r="X955" s="58">
        <f>X957</f>
        <v>-0.04999999999972715</v>
      </c>
    </row>
    <row r="956" spans="1:24" s="31" customFormat="1" ht="15.75">
      <c r="A956" s="252" t="s">
        <v>513</v>
      </c>
      <c r="B956" s="51"/>
      <c r="C956" s="45" t="s">
        <v>156</v>
      </c>
      <c r="D956" s="45" t="s">
        <v>171</v>
      </c>
      <c r="E956" s="52" t="s">
        <v>281</v>
      </c>
      <c r="F956" s="56"/>
      <c r="G956" s="62">
        <f aca="true" t="shared" si="61" ref="G956:X956">G957</f>
        <v>2261.05</v>
      </c>
      <c r="H956" s="62">
        <f t="shared" si="61"/>
        <v>0</v>
      </c>
      <c r="I956" s="62">
        <f t="shared" si="61"/>
        <v>0</v>
      </c>
      <c r="J956" s="62">
        <f t="shared" si="61"/>
        <v>0</v>
      </c>
      <c r="K956" s="62">
        <f t="shared" si="61"/>
        <v>0</v>
      </c>
      <c r="L956" s="62">
        <f t="shared" si="61"/>
        <v>0</v>
      </c>
      <c r="M956" s="62">
        <f t="shared" si="61"/>
        <v>0</v>
      </c>
      <c r="N956" s="62">
        <f t="shared" si="61"/>
        <v>0</v>
      </c>
      <c r="O956" s="62">
        <f t="shared" si="61"/>
        <v>0</v>
      </c>
      <c r="P956" s="62">
        <f t="shared" si="61"/>
        <v>0</v>
      </c>
      <c r="Q956" s="62">
        <f t="shared" si="61"/>
        <v>0</v>
      </c>
      <c r="R956" s="62">
        <f t="shared" si="61"/>
        <v>0</v>
      </c>
      <c r="S956" s="62">
        <f t="shared" si="61"/>
        <v>0</v>
      </c>
      <c r="T956" s="62">
        <f t="shared" si="61"/>
        <v>0</v>
      </c>
      <c r="U956" s="62">
        <f t="shared" si="61"/>
        <v>0</v>
      </c>
      <c r="V956" s="62">
        <f t="shared" si="61"/>
        <v>0</v>
      </c>
      <c r="W956" s="62">
        <f t="shared" si="61"/>
        <v>2261.1</v>
      </c>
      <c r="X956" s="62">
        <f t="shared" si="61"/>
        <v>-0.04999999999972715</v>
      </c>
    </row>
    <row r="957" spans="1:24" s="13" customFormat="1" ht="15.75">
      <c r="A957" s="257" t="s">
        <v>695</v>
      </c>
      <c r="B957" s="55"/>
      <c r="C957" s="48" t="s">
        <v>156</v>
      </c>
      <c r="D957" s="48" t="s">
        <v>171</v>
      </c>
      <c r="E957" s="49" t="s">
        <v>694</v>
      </c>
      <c r="F957" s="56"/>
      <c r="G957" s="62">
        <f>G958</f>
        <v>2261.05</v>
      </c>
      <c r="H957" s="31"/>
      <c r="I957" s="31"/>
      <c r="J957" s="31"/>
      <c r="K957" s="31"/>
      <c r="L957" s="31"/>
      <c r="M957" s="31"/>
      <c r="N957" s="31"/>
      <c r="O957" s="31"/>
      <c r="P957" s="31"/>
      <c r="Q957" s="32"/>
      <c r="R957" s="31"/>
      <c r="S957" s="31"/>
      <c r="T957" s="31"/>
      <c r="U957" s="31"/>
      <c r="V957" s="31"/>
      <c r="W957" s="62">
        <f>W958</f>
        <v>2261.1</v>
      </c>
      <c r="X957" s="62">
        <f t="shared" si="60"/>
        <v>-0.04999999999972715</v>
      </c>
    </row>
    <row r="958" spans="1:24" s="13" customFormat="1" ht="15.75">
      <c r="A958" s="163" t="s">
        <v>227</v>
      </c>
      <c r="B958" s="55"/>
      <c r="C958" s="48" t="s">
        <v>156</v>
      </c>
      <c r="D958" s="48" t="s">
        <v>171</v>
      </c>
      <c r="E958" s="49" t="s">
        <v>694</v>
      </c>
      <c r="F958" s="56" t="s">
        <v>199</v>
      </c>
      <c r="G958" s="62">
        <f>G959</f>
        <v>2261.05</v>
      </c>
      <c r="H958" s="31"/>
      <c r="I958" s="31"/>
      <c r="J958" s="31"/>
      <c r="K958" s="31"/>
      <c r="L958" s="31"/>
      <c r="M958" s="31"/>
      <c r="N958" s="31"/>
      <c r="O958" s="31"/>
      <c r="P958" s="31"/>
      <c r="Q958" s="32"/>
      <c r="R958" s="31"/>
      <c r="S958" s="31"/>
      <c r="T958" s="31"/>
      <c r="U958" s="31"/>
      <c r="V958" s="31"/>
      <c r="W958" s="62">
        <f>W959</f>
        <v>2261.1</v>
      </c>
      <c r="X958" s="62">
        <f t="shared" si="60"/>
        <v>-0.04999999999972715</v>
      </c>
    </row>
    <row r="959" spans="1:24" s="13" customFormat="1" ht="15.75">
      <c r="A959" s="271" t="s">
        <v>179</v>
      </c>
      <c r="B959" s="55"/>
      <c r="C959" s="48" t="s">
        <v>156</v>
      </c>
      <c r="D959" s="48" t="s">
        <v>171</v>
      </c>
      <c r="E959" s="49" t="s">
        <v>694</v>
      </c>
      <c r="F959" s="56" t="s">
        <v>200</v>
      </c>
      <c r="G959" s="62">
        <v>2261.05</v>
      </c>
      <c r="H959" s="31"/>
      <c r="I959" s="31"/>
      <c r="J959" s="31"/>
      <c r="K959" s="31"/>
      <c r="L959" s="31"/>
      <c r="M959" s="31"/>
      <c r="N959" s="31"/>
      <c r="O959" s="31"/>
      <c r="P959" s="31"/>
      <c r="Q959" s="32"/>
      <c r="R959" s="31"/>
      <c r="S959" s="31"/>
      <c r="T959" s="31"/>
      <c r="U959" s="31"/>
      <c r="V959" s="31"/>
      <c r="W959" s="62">
        <v>2261.1</v>
      </c>
      <c r="X959" s="62">
        <f>G959-W959</f>
        <v>-0.04999999999972715</v>
      </c>
    </row>
    <row r="960" spans="1:24" s="13" customFormat="1" ht="15.75">
      <c r="A960" s="209" t="s">
        <v>186</v>
      </c>
      <c r="B960" s="210"/>
      <c r="C960" s="210"/>
      <c r="D960" s="210"/>
      <c r="E960" s="210"/>
      <c r="F960" s="210"/>
      <c r="G960" s="101">
        <f>G7+G211+G253+G272+G502+G745+G765+G814+G828</f>
        <v>1684935.744</v>
      </c>
      <c r="H960" s="31"/>
      <c r="I960" s="31"/>
      <c r="J960" s="31"/>
      <c r="K960" s="31"/>
      <c r="L960" s="31"/>
      <c r="M960" s="31"/>
      <c r="N960" s="31"/>
      <c r="O960" s="31"/>
      <c r="P960" s="31"/>
      <c r="Q960" s="32"/>
      <c r="R960" s="31"/>
      <c r="S960" s="31"/>
      <c r="T960" s="31"/>
      <c r="U960" s="31"/>
      <c r="V960" s="31"/>
      <c r="W960" s="101">
        <f>W7+W211+W253+W272+W502+W745+W765+W814+W828</f>
        <v>1678234.6449600002</v>
      </c>
      <c r="X960" s="101">
        <f>X7+X211+X253+X272+X502+X745+X765+X814+X828</f>
        <v>6701.099040000005</v>
      </c>
    </row>
    <row r="961" spans="1:24" ht="15.75">
      <c r="A961" s="29"/>
      <c r="B961" s="332"/>
      <c r="C961" s="332"/>
      <c r="D961" s="332"/>
      <c r="E961" s="332"/>
      <c r="F961" s="332"/>
      <c r="G961" s="211"/>
      <c r="W961" s="211"/>
      <c r="X961" s="211"/>
    </row>
    <row r="962" spans="1:24" ht="15.75">
      <c r="A962" s="29"/>
      <c r="B962" s="332"/>
      <c r="C962" s="332"/>
      <c r="D962" s="332"/>
      <c r="E962" s="332"/>
      <c r="F962" s="332"/>
      <c r="G962" s="211"/>
      <c r="W962" s="211"/>
      <c r="X962" s="211"/>
    </row>
    <row r="963" spans="1:24" ht="15.75">
      <c r="A963" s="29"/>
      <c r="B963" s="332"/>
      <c r="C963" s="332"/>
      <c r="D963" s="332"/>
      <c r="E963" s="332"/>
      <c r="F963" s="332"/>
      <c r="G963" s="211"/>
      <c r="W963" s="211"/>
      <c r="X963" s="211"/>
    </row>
    <row r="964" spans="1:24" ht="15.75">
      <c r="A964" s="29"/>
      <c r="B964" s="332"/>
      <c r="C964" s="332"/>
      <c r="D964" s="332"/>
      <c r="E964" s="332"/>
      <c r="F964" s="332"/>
      <c r="G964" s="211"/>
      <c r="W964" s="211"/>
      <c r="X964" s="211"/>
    </row>
    <row r="965" spans="1:24" ht="15.75">
      <c r="A965" s="29"/>
      <c r="B965" s="332"/>
      <c r="C965" s="332"/>
      <c r="D965" s="332"/>
      <c r="E965" s="332"/>
      <c r="F965" s="332"/>
      <c r="G965" s="211"/>
      <c r="W965" s="211"/>
      <c r="X965" s="211"/>
    </row>
    <row r="966" spans="1:24" ht="15.75">
      <c r="A966" s="29"/>
      <c r="B966" s="332"/>
      <c r="C966" s="332"/>
      <c r="D966" s="332"/>
      <c r="E966" s="332"/>
      <c r="F966" s="332"/>
      <c r="G966" s="211"/>
      <c r="W966" s="211"/>
      <c r="X966" s="211"/>
    </row>
    <row r="967" spans="1:24" ht="15.75">
      <c r="A967" s="29"/>
      <c r="B967" s="332"/>
      <c r="C967" s="332"/>
      <c r="D967" s="332"/>
      <c r="E967" s="332"/>
      <c r="F967" s="332"/>
      <c r="G967" s="211"/>
      <c r="W967" s="211"/>
      <c r="X967" s="211"/>
    </row>
    <row r="968" spans="1:24" ht="15.75">
      <c r="A968" s="29"/>
      <c r="B968" s="332"/>
      <c r="C968" s="332"/>
      <c r="D968" s="332"/>
      <c r="E968" s="332"/>
      <c r="F968" s="332"/>
      <c r="G968" s="211"/>
      <c r="W968" s="211"/>
      <c r="X968" s="211"/>
    </row>
    <row r="969" spans="1:24" ht="15.75">
      <c r="A969" s="29"/>
      <c r="B969" s="332"/>
      <c r="C969" s="332"/>
      <c r="D969" s="332"/>
      <c r="E969" s="332"/>
      <c r="F969" s="332"/>
      <c r="G969" s="211"/>
      <c r="W969" s="211"/>
      <c r="X969" s="211"/>
    </row>
    <row r="970" spans="1:24" ht="15.75">
      <c r="A970" s="29"/>
      <c r="B970" s="332"/>
      <c r="C970" s="332"/>
      <c r="D970" s="332"/>
      <c r="E970" s="332"/>
      <c r="F970" s="332"/>
      <c r="G970" s="211"/>
      <c r="W970" s="211"/>
      <c r="X970" s="211"/>
    </row>
    <row r="971" spans="1:24" ht="15.75">
      <c r="A971" s="29"/>
      <c r="B971" s="332"/>
      <c r="C971" s="332"/>
      <c r="D971" s="332"/>
      <c r="E971" s="332"/>
      <c r="F971" s="332"/>
      <c r="G971" s="211"/>
      <c r="W971" s="211"/>
      <c r="X971" s="211"/>
    </row>
    <row r="972" spans="1:24" ht="15.75">
      <c r="A972" s="29"/>
      <c r="B972" s="332"/>
      <c r="C972" s="332"/>
      <c r="D972" s="332"/>
      <c r="E972" s="332"/>
      <c r="F972" s="332"/>
      <c r="G972" s="211"/>
      <c r="W972" s="211"/>
      <c r="X972" s="211"/>
    </row>
    <row r="973" spans="1:24" ht="15.75">
      <c r="A973" s="29"/>
      <c r="B973" s="332"/>
      <c r="C973" s="332"/>
      <c r="D973" s="332"/>
      <c r="E973" s="332"/>
      <c r="F973" s="332"/>
      <c r="G973" s="211"/>
      <c r="W973" s="211"/>
      <c r="X973" s="211"/>
    </row>
    <row r="974" spans="1:24" ht="15.75">
      <c r="A974" s="29"/>
      <c r="B974" s="332"/>
      <c r="C974" s="332"/>
      <c r="D974" s="332"/>
      <c r="E974" s="332"/>
      <c r="F974" s="332"/>
      <c r="G974" s="211"/>
      <c r="W974" s="211"/>
      <c r="X974" s="211"/>
    </row>
    <row r="975" spans="1:24" ht="15.75">
      <c r="A975" s="29"/>
      <c r="B975" s="332"/>
      <c r="C975" s="332"/>
      <c r="D975" s="332"/>
      <c r="E975" s="332"/>
      <c r="F975" s="332"/>
      <c r="G975" s="211"/>
      <c r="W975" s="211"/>
      <c r="X975" s="211"/>
    </row>
    <row r="976" spans="1:24" ht="15.75">
      <c r="A976" s="29"/>
      <c r="B976" s="332"/>
      <c r="C976" s="332"/>
      <c r="D976" s="332"/>
      <c r="E976" s="332"/>
      <c r="F976" s="332"/>
      <c r="G976" s="211"/>
      <c r="W976" s="211"/>
      <c r="X976" s="211"/>
    </row>
    <row r="977" spans="1:24" ht="15.75">
      <c r="A977" s="29"/>
      <c r="B977" s="332"/>
      <c r="C977" s="332"/>
      <c r="D977" s="332"/>
      <c r="E977" s="332"/>
      <c r="F977" s="332"/>
      <c r="G977" s="211"/>
      <c r="W977" s="211"/>
      <c r="X977" s="211"/>
    </row>
    <row r="978" spans="1:24" ht="15.75">
      <c r="A978" s="29"/>
      <c r="B978" s="332"/>
      <c r="C978" s="332"/>
      <c r="D978" s="332"/>
      <c r="E978" s="332"/>
      <c r="F978" s="332"/>
      <c r="G978" s="211"/>
      <c r="W978" s="211"/>
      <c r="X978" s="211"/>
    </row>
    <row r="979" spans="1:24" ht="15.75">
      <c r="A979" s="29"/>
      <c r="B979" s="332"/>
      <c r="C979" s="332"/>
      <c r="D979" s="332"/>
      <c r="E979" s="332"/>
      <c r="F979" s="332"/>
      <c r="G979" s="211"/>
      <c r="W979" s="211"/>
      <c r="X979" s="211"/>
    </row>
    <row r="980" spans="1:24" ht="15.75">
      <c r="A980" s="29"/>
      <c r="B980" s="332"/>
      <c r="C980" s="332"/>
      <c r="D980" s="332"/>
      <c r="E980" s="332"/>
      <c r="F980" s="332"/>
      <c r="G980" s="211"/>
      <c r="W980" s="211"/>
      <c r="X980" s="211"/>
    </row>
    <row r="981" spans="1:24" ht="15.75">
      <c r="A981" s="29"/>
      <c r="B981" s="332"/>
      <c r="C981" s="332"/>
      <c r="D981" s="332"/>
      <c r="E981" s="332"/>
      <c r="F981" s="332"/>
      <c r="G981" s="211"/>
      <c r="W981" s="211"/>
      <c r="X981" s="211"/>
    </row>
    <row r="982" spans="1:24" ht="15.75">
      <c r="A982" s="29"/>
      <c r="B982" s="332"/>
      <c r="C982" s="332"/>
      <c r="D982" s="332"/>
      <c r="E982" s="332"/>
      <c r="F982" s="332"/>
      <c r="G982" s="211"/>
      <c r="W982" s="211"/>
      <c r="X982" s="211"/>
    </row>
    <row r="983" spans="1:24" ht="15.75">
      <c r="A983" s="29"/>
      <c r="B983" s="332"/>
      <c r="C983" s="332"/>
      <c r="D983" s="332"/>
      <c r="E983" s="332"/>
      <c r="F983" s="332"/>
      <c r="G983" s="211"/>
      <c r="W983" s="211"/>
      <c r="X983" s="211"/>
    </row>
    <row r="984" spans="1:24" ht="15.75">
      <c r="A984" s="29"/>
      <c r="B984" s="332"/>
      <c r="C984" s="332"/>
      <c r="D984" s="332"/>
      <c r="E984" s="332"/>
      <c r="F984" s="332"/>
      <c r="G984" s="211"/>
      <c r="W984" s="211"/>
      <c r="X984" s="211"/>
    </row>
    <row r="985" spans="1:24" ht="15.75">
      <c r="A985" s="29"/>
      <c r="B985" s="332"/>
      <c r="C985" s="332"/>
      <c r="D985" s="332"/>
      <c r="E985" s="332"/>
      <c r="F985" s="332"/>
      <c r="G985" s="211"/>
      <c r="W985" s="211"/>
      <c r="X985" s="211"/>
    </row>
    <row r="986" spans="1:24" ht="15.75">
      <c r="A986" s="29"/>
      <c r="B986" s="332"/>
      <c r="C986" s="332"/>
      <c r="D986" s="332"/>
      <c r="E986" s="332"/>
      <c r="F986" s="332"/>
      <c r="G986" s="211"/>
      <c r="W986" s="211"/>
      <c r="X986" s="211"/>
    </row>
    <row r="987" spans="1:24" ht="15.75">
      <c r="A987" s="29"/>
      <c r="B987" s="332"/>
      <c r="C987" s="332"/>
      <c r="D987" s="332"/>
      <c r="E987" s="332"/>
      <c r="F987" s="332"/>
      <c r="G987" s="211"/>
      <c r="W987" s="211"/>
      <c r="X987" s="211"/>
    </row>
    <row r="988" spans="1:24" ht="15.75">
      <c r="A988" s="29"/>
      <c r="B988" s="332"/>
      <c r="C988" s="332"/>
      <c r="D988" s="332"/>
      <c r="E988" s="332"/>
      <c r="F988" s="332"/>
      <c r="G988" s="211"/>
      <c r="W988" s="211"/>
      <c r="X988" s="211"/>
    </row>
    <row r="989" spans="1:24" ht="15.75">
      <c r="A989" s="29"/>
      <c r="B989" s="332"/>
      <c r="C989" s="332"/>
      <c r="D989" s="332"/>
      <c r="E989" s="332"/>
      <c r="F989" s="332"/>
      <c r="G989" s="211"/>
      <c r="W989" s="211"/>
      <c r="X989" s="211"/>
    </row>
    <row r="990" spans="1:24" ht="15.75">
      <c r="A990" s="29"/>
      <c r="B990" s="332"/>
      <c r="C990" s="332"/>
      <c r="D990" s="332"/>
      <c r="E990" s="332"/>
      <c r="F990" s="332"/>
      <c r="G990" s="211"/>
      <c r="W990" s="211"/>
      <c r="X990" s="211"/>
    </row>
    <row r="991" spans="1:24" ht="15.75">
      <c r="A991" s="29"/>
      <c r="B991" s="332"/>
      <c r="C991" s="332"/>
      <c r="D991" s="332"/>
      <c r="E991" s="332"/>
      <c r="F991" s="332"/>
      <c r="G991" s="211"/>
      <c r="W991" s="211"/>
      <c r="X991" s="211"/>
    </row>
    <row r="992" spans="1:24" ht="15.75">
      <c r="A992" s="29"/>
      <c r="B992" s="332"/>
      <c r="C992" s="332"/>
      <c r="D992" s="332"/>
      <c r="E992" s="332"/>
      <c r="F992" s="332"/>
      <c r="G992" s="211"/>
      <c r="W992" s="211"/>
      <c r="X992" s="211"/>
    </row>
    <row r="993" spans="1:24" ht="15.75">
      <c r="A993" s="29"/>
      <c r="B993" s="332"/>
      <c r="C993" s="332"/>
      <c r="D993" s="332"/>
      <c r="E993" s="332"/>
      <c r="F993" s="332"/>
      <c r="G993" s="211"/>
      <c r="W993" s="211"/>
      <c r="X993" s="211"/>
    </row>
    <row r="994" spans="1:24" ht="15.75">
      <c r="A994" s="29"/>
      <c r="B994" s="332"/>
      <c r="C994" s="332"/>
      <c r="D994" s="332"/>
      <c r="E994" s="332"/>
      <c r="F994" s="332"/>
      <c r="G994" s="211"/>
      <c r="W994" s="211"/>
      <c r="X994" s="211"/>
    </row>
    <row r="995" spans="1:24" ht="15.75">
      <c r="A995" s="29"/>
      <c r="B995" s="332"/>
      <c r="C995" s="332"/>
      <c r="D995" s="332"/>
      <c r="E995" s="332"/>
      <c r="F995" s="332"/>
      <c r="G995" s="211"/>
      <c r="W995" s="211"/>
      <c r="X995" s="211"/>
    </row>
    <row r="996" spans="1:24" ht="15.75">
      <c r="A996" s="29"/>
      <c r="B996" s="332"/>
      <c r="C996" s="332"/>
      <c r="D996" s="332"/>
      <c r="E996" s="332"/>
      <c r="F996" s="332"/>
      <c r="G996" s="211"/>
      <c r="W996" s="211"/>
      <c r="X996" s="211"/>
    </row>
    <row r="997" spans="1:24" ht="15.75">
      <c r="A997" s="29"/>
      <c r="B997" s="332"/>
      <c r="C997" s="332"/>
      <c r="D997" s="332"/>
      <c r="E997" s="332"/>
      <c r="F997" s="332"/>
      <c r="G997" s="211"/>
      <c r="W997" s="211"/>
      <c r="X997" s="211"/>
    </row>
    <row r="998" spans="1:24" ht="15.75">
      <c r="A998" s="29"/>
      <c r="B998" s="332"/>
      <c r="C998" s="332"/>
      <c r="D998" s="332"/>
      <c r="E998" s="332"/>
      <c r="F998" s="332"/>
      <c r="G998" s="211"/>
      <c r="W998" s="211"/>
      <c r="X998" s="211"/>
    </row>
    <row r="999" spans="1:24" ht="15.75">
      <c r="A999" s="29"/>
      <c r="B999" s="332"/>
      <c r="C999" s="332"/>
      <c r="D999" s="332"/>
      <c r="E999" s="332"/>
      <c r="F999" s="332"/>
      <c r="G999" s="211"/>
      <c r="W999" s="211"/>
      <c r="X999" s="211"/>
    </row>
    <row r="1000" spans="1:24" ht="15.75">
      <c r="A1000" s="29"/>
      <c r="B1000" s="332"/>
      <c r="C1000" s="332"/>
      <c r="D1000" s="332"/>
      <c r="E1000" s="332"/>
      <c r="F1000" s="332"/>
      <c r="G1000" s="211"/>
      <c r="W1000" s="211"/>
      <c r="X1000" s="211"/>
    </row>
    <row r="1001" spans="1:24" ht="15.75">
      <c r="A1001" s="29"/>
      <c r="B1001" s="332"/>
      <c r="C1001" s="332"/>
      <c r="D1001" s="332"/>
      <c r="E1001" s="332"/>
      <c r="F1001" s="332"/>
      <c r="G1001" s="211"/>
      <c r="W1001" s="211"/>
      <c r="X1001" s="211"/>
    </row>
    <row r="1002" spans="1:24" ht="15.75">
      <c r="A1002" s="29"/>
      <c r="B1002" s="332"/>
      <c r="C1002" s="332"/>
      <c r="D1002" s="332"/>
      <c r="E1002" s="332"/>
      <c r="F1002" s="332"/>
      <c r="G1002" s="211"/>
      <c r="W1002" s="211"/>
      <c r="X1002" s="211"/>
    </row>
    <row r="1003" spans="1:24" ht="15.75">
      <c r="A1003" s="29"/>
      <c r="B1003" s="332"/>
      <c r="C1003" s="332"/>
      <c r="D1003" s="332"/>
      <c r="E1003" s="332"/>
      <c r="F1003" s="332"/>
      <c r="G1003" s="211"/>
      <c r="W1003" s="211"/>
      <c r="X1003" s="211"/>
    </row>
    <row r="1004" spans="1:24" ht="15.75">
      <c r="A1004" s="29"/>
      <c r="B1004" s="332"/>
      <c r="C1004" s="332"/>
      <c r="D1004" s="332"/>
      <c r="E1004" s="332"/>
      <c r="F1004" s="332"/>
      <c r="G1004" s="211"/>
      <c r="W1004" s="211"/>
      <c r="X1004" s="211"/>
    </row>
    <row r="1005" spans="1:24" ht="15.75">
      <c r="A1005" s="29"/>
      <c r="B1005" s="332"/>
      <c r="C1005" s="332"/>
      <c r="D1005" s="332"/>
      <c r="E1005" s="332"/>
      <c r="F1005" s="332"/>
      <c r="G1005" s="211"/>
      <c r="W1005" s="211"/>
      <c r="X1005" s="211"/>
    </row>
    <row r="1006" spans="1:24" ht="15.75">
      <c r="A1006" s="29"/>
      <c r="B1006" s="332"/>
      <c r="C1006" s="332"/>
      <c r="D1006" s="332"/>
      <c r="E1006" s="332"/>
      <c r="F1006" s="332"/>
      <c r="G1006" s="211"/>
      <c r="W1006" s="211"/>
      <c r="X1006" s="211"/>
    </row>
    <row r="1007" spans="1:24" ht="15.75">
      <c r="A1007" s="29"/>
      <c r="B1007" s="332"/>
      <c r="C1007" s="332"/>
      <c r="D1007" s="332"/>
      <c r="E1007" s="332"/>
      <c r="F1007" s="332"/>
      <c r="G1007" s="211"/>
      <c r="W1007" s="211"/>
      <c r="X1007" s="211"/>
    </row>
    <row r="1008" spans="1:24" ht="15.75">
      <c r="A1008" s="29"/>
      <c r="B1008" s="332"/>
      <c r="C1008" s="332"/>
      <c r="D1008" s="332"/>
      <c r="E1008" s="332"/>
      <c r="F1008" s="332"/>
      <c r="G1008" s="211"/>
      <c r="W1008" s="211"/>
      <c r="X1008" s="211"/>
    </row>
    <row r="1009" spans="1:24" ht="15.75">
      <c r="A1009" s="29"/>
      <c r="B1009" s="332"/>
      <c r="C1009" s="332"/>
      <c r="D1009" s="332"/>
      <c r="E1009" s="332"/>
      <c r="F1009" s="332"/>
      <c r="G1009" s="211"/>
      <c r="W1009" s="211"/>
      <c r="X1009" s="211"/>
    </row>
    <row r="1010" spans="1:24" ht="15.75">
      <c r="A1010" s="29"/>
      <c r="B1010" s="332"/>
      <c r="C1010" s="332"/>
      <c r="D1010" s="332"/>
      <c r="E1010" s="332"/>
      <c r="F1010" s="332"/>
      <c r="G1010" s="211"/>
      <c r="W1010" s="211"/>
      <c r="X1010" s="211"/>
    </row>
    <row r="1011" spans="1:24" ht="15.75">
      <c r="A1011" s="29"/>
      <c r="B1011" s="332"/>
      <c r="C1011" s="332"/>
      <c r="D1011" s="332"/>
      <c r="E1011" s="332"/>
      <c r="F1011" s="332"/>
      <c r="G1011" s="211"/>
      <c r="W1011" s="211"/>
      <c r="X1011" s="211"/>
    </row>
    <row r="1012" spans="1:24" ht="15.75">
      <c r="A1012" s="29"/>
      <c r="B1012" s="332"/>
      <c r="C1012" s="332"/>
      <c r="D1012" s="332"/>
      <c r="E1012" s="332"/>
      <c r="F1012" s="332"/>
      <c r="G1012" s="211"/>
      <c r="W1012" s="211"/>
      <c r="X1012" s="211"/>
    </row>
    <row r="1013" spans="1:24" ht="15.75">
      <c r="A1013" s="29"/>
      <c r="B1013" s="332"/>
      <c r="C1013" s="332"/>
      <c r="D1013" s="332"/>
      <c r="E1013" s="332"/>
      <c r="F1013" s="332"/>
      <c r="G1013" s="211"/>
      <c r="W1013" s="211"/>
      <c r="X1013" s="211"/>
    </row>
    <row r="1014" spans="1:24" ht="15.75">
      <c r="A1014" s="29"/>
      <c r="B1014" s="332"/>
      <c r="C1014" s="332"/>
      <c r="D1014" s="332"/>
      <c r="E1014" s="332"/>
      <c r="F1014" s="332"/>
      <c r="G1014" s="211"/>
      <c r="W1014" s="211"/>
      <c r="X1014" s="211"/>
    </row>
    <row r="1015" spans="1:24" ht="15.75">
      <c r="A1015" s="29"/>
      <c r="B1015" s="332"/>
      <c r="C1015" s="332"/>
      <c r="D1015" s="332"/>
      <c r="E1015" s="332"/>
      <c r="F1015" s="332"/>
      <c r="G1015" s="211"/>
      <c r="W1015" s="211"/>
      <c r="X1015" s="211"/>
    </row>
    <row r="1016" spans="1:24" ht="15.75">
      <c r="A1016" s="29"/>
      <c r="B1016" s="332"/>
      <c r="C1016" s="332"/>
      <c r="D1016" s="332"/>
      <c r="E1016" s="332"/>
      <c r="F1016" s="332"/>
      <c r="G1016" s="211"/>
      <c r="W1016" s="211"/>
      <c r="X1016" s="211"/>
    </row>
    <row r="1017" spans="1:24" ht="15.75">
      <c r="A1017" s="29"/>
      <c r="B1017" s="332"/>
      <c r="C1017" s="332"/>
      <c r="D1017" s="332"/>
      <c r="E1017" s="332"/>
      <c r="F1017" s="332"/>
      <c r="G1017" s="211"/>
      <c r="W1017" s="211"/>
      <c r="X1017" s="211"/>
    </row>
    <row r="1018" spans="1:24" ht="15.75">
      <c r="A1018" s="29"/>
      <c r="B1018" s="332"/>
      <c r="C1018" s="332"/>
      <c r="D1018" s="332"/>
      <c r="E1018" s="332"/>
      <c r="F1018" s="332"/>
      <c r="G1018" s="211"/>
      <c r="W1018" s="211"/>
      <c r="X1018" s="211"/>
    </row>
    <row r="1019" spans="1:24" ht="15.75">
      <c r="A1019" s="29"/>
      <c r="B1019" s="332"/>
      <c r="C1019" s="332"/>
      <c r="D1019" s="332"/>
      <c r="E1019" s="332"/>
      <c r="F1019" s="332"/>
      <c r="G1019" s="211"/>
      <c r="W1019" s="211"/>
      <c r="X1019" s="211"/>
    </row>
    <row r="1020" spans="1:24" ht="15.75">
      <c r="A1020" s="29"/>
      <c r="B1020" s="332"/>
      <c r="C1020" s="332"/>
      <c r="D1020" s="332"/>
      <c r="E1020" s="332"/>
      <c r="F1020" s="332"/>
      <c r="G1020" s="211"/>
      <c r="W1020" s="211"/>
      <c r="X1020" s="211"/>
    </row>
    <row r="1021" spans="1:24" ht="15.75">
      <c r="A1021" s="29"/>
      <c r="B1021" s="332"/>
      <c r="C1021" s="332"/>
      <c r="D1021" s="332"/>
      <c r="E1021" s="332"/>
      <c r="F1021" s="332"/>
      <c r="G1021" s="211"/>
      <c r="W1021" s="211"/>
      <c r="X1021" s="211"/>
    </row>
    <row r="1022" spans="1:24" ht="15.75">
      <c r="A1022" s="29"/>
      <c r="B1022" s="332"/>
      <c r="C1022" s="332"/>
      <c r="D1022" s="332"/>
      <c r="E1022" s="332"/>
      <c r="F1022" s="332"/>
      <c r="G1022" s="211"/>
      <c r="W1022" s="211"/>
      <c r="X1022" s="211"/>
    </row>
    <row r="1023" spans="1:24" ht="15.75">
      <c r="A1023" s="29"/>
      <c r="B1023" s="332"/>
      <c r="C1023" s="332"/>
      <c r="D1023" s="332"/>
      <c r="E1023" s="332"/>
      <c r="F1023" s="332"/>
      <c r="G1023" s="211"/>
      <c r="W1023" s="211"/>
      <c r="X1023" s="211"/>
    </row>
    <row r="1024" spans="1:24" ht="15.75">
      <c r="A1024" s="29"/>
      <c r="B1024" s="332"/>
      <c r="C1024" s="332"/>
      <c r="D1024" s="332"/>
      <c r="E1024" s="332"/>
      <c r="F1024" s="332"/>
      <c r="G1024" s="211"/>
      <c r="W1024" s="211"/>
      <c r="X1024" s="211"/>
    </row>
    <row r="1025" spans="1:24" ht="15.75">
      <c r="A1025" s="29"/>
      <c r="B1025" s="332"/>
      <c r="C1025" s="332"/>
      <c r="D1025" s="332"/>
      <c r="E1025" s="332"/>
      <c r="F1025" s="332"/>
      <c r="G1025" s="211"/>
      <c r="W1025" s="211"/>
      <c r="X1025" s="211"/>
    </row>
    <row r="1026" spans="1:24" ht="15.75">
      <c r="A1026" s="29"/>
      <c r="B1026" s="332"/>
      <c r="C1026" s="332"/>
      <c r="D1026" s="332"/>
      <c r="E1026" s="332"/>
      <c r="F1026" s="332"/>
      <c r="G1026" s="211"/>
      <c r="W1026" s="211"/>
      <c r="X1026" s="211"/>
    </row>
    <row r="1027" spans="1:24" ht="15.75">
      <c r="A1027" s="29"/>
      <c r="B1027" s="332"/>
      <c r="C1027" s="332"/>
      <c r="D1027" s="332"/>
      <c r="E1027" s="332"/>
      <c r="F1027" s="332"/>
      <c r="G1027" s="211"/>
      <c r="W1027" s="211"/>
      <c r="X1027" s="211"/>
    </row>
    <row r="1028" spans="1:24" ht="15.75">
      <c r="A1028" s="29"/>
      <c r="B1028" s="332"/>
      <c r="C1028" s="332"/>
      <c r="D1028" s="332"/>
      <c r="E1028" s="332"/>
      <c r="F1028" s="332"/>
      <c r="G1028" s="211"/>
      <c r="W1028" s="211"/>
      <c r="X1028" s="211"/>
    </row>
    <row r="1029" spans="1:24" ht="15.75">
      <c r="A1029" s="29"/>
      <c r="B1029" s="332"/>
      <c r="C1029" s="332"/>
      <c r="D1029" s="332"/>
      <c r="E1029" s="332"/>
      <c r="F1029" s="332"/>
      <c r="G1029" s="211"/>
      <c r="W1029" s="211"/>
      <c r="X1029" s="211"/>
    </row>
    <row r="1030" spans="1:24" ht="15.75">
      <c r="A1030" s="29"/>
      <c r="B1030" s="332"/>
      <c r="C1030" s="332"/>
      <c r="D1030" s="332"/>
      <c r="E1030" s="332"/>
      <c r="F1030" s="332"/>
      <c r="G1030" s="211"/>
      <c r="W1030" s="211"/>
      <c r="X1030" s="211"/>
    </row>
    <row r="1031" spans="1:24" ht="15.75">
      <c r="A1031" s="29"/>
      <c r="B1031" s="332"/>
      <c r="C1031" s="332"/>
      <c r="D1031" s="332"/>
      <c r="E1031" s="332"/>
      <c r="F1031" s="332"/>
      <c r="G1031" s="211"/>
      <c r="W1031" s="211"/>
      <c r="X1031" s="211"/>
    </row>
    <row r="1032" spans="1:24" ht="15.75">
      <c r="A1032" s="29"/>
      <c r="B1032" s="332"/>
      <c r="C1032" s="332"/>
      <c r="D1032" s="332"/>
      <c r="E1032" s="332"/>
      <c r="F1032" s="332"/>
      <c r="G1032" s="211"/>
      <c r="W1032" s="211"/>
      <c r="X1032" s="211"/>
    </row>
    <row r="1033" spans="1:24" ht="15.75">
      <c r="A1033" s="29"/>
      <c r="B1033" s="332"/>
      <c r="C1033" s="332"/>
      <c r="D1033" s="332"/>
      <c r="E1033" s="332"/>
      <c r="F1033" s="332"/>
      <c r="G1033" s="211"/>
      <c r="W1033" s="211"/>
      <c r="X1033" s="211"/>
    </row>
    <row r="1034" spans="1:24" ht="15.75">
      <c r="A1034" s="29"/>
      <c r="B1034" s="332"/>
      <c r="C1034" s="332"/>
      <c r="D1034" s="332"/>
      <c r="E1034" s="332"/>
      <c r="F1034" s="332"/>
      <c r="G1034" s="211"/>
      <c r="W1034" s="211"/>
      <c r="X1034" s="211"/>
    </row>
    <row r="1035" spans="1:24" ht="15.75">
      <c r="A1035" s="29"/>
      <c r="B1035" s="332"/>
      <c r="C1035" s="332"/>
      <c r="D1035" s="332"/>
      <c r="E1035" s="332"/>
      <c r="F1035" s="332"/>
      <c r="G1035" s="211"/>
      <c r="W1035" s="211"/>
      <c r="X1035" s="211"/>
    </row>
    <row r="1036" spans="1:24" ht="15.75">
      <c r="A1036" s="29"/>
      <c r="B1036" s="332"/>
      <c r="C1036" s="332"/>
      <c r="D1036" s="332"/>
      <c r="E1036" s="332"/>
      <c r="F1036" s="332"/>
      <c r="G1036" s="211"/>
      <c r="W1036" s="211"/>
      <c r="X1036" s="211"/>
    </row>
    <row r="1037" spans="1:24" ht="15.75">
      <c r="A1037" s="29"/>
      <c r="B1037" s="332"/>
      <c r="C1037" s="332"/>
      <c r="D1037" s="332"/>
      <c r="E1037" s="332"/>
      <c r="F1037" s="332"/>
      <c r="G1037" s="211"/>
      <c r="W1037" s="211"/>
      <c r="X1037" s="211"/>
    </row>
    <row r="1038" spans="1:24" ht="15.75">
      <c r="A1038" s="29"/>
      <c r="B1038" s="332"/>
      <c r="C1038" s="332"/>
      <c r="D1038" s="332"/>
      <c r="E1038" s="332"/>
      <c r="F1038" s="332"/>
      <c r="G1038" s="211"/>
      <c r="W1038" s="211"/>
      <c r="X1038" s="211"/>
    </row>
    <row r="1039" spans="1:24" ht="15.75">
      <c r="A1039" s="29"/>
      <c r="B1039" s="332"/>
      <c r="C1039" s="332"/>
      <c r="D1039" s="332"/>
      <c r="E1039" s="332"/>
      <c r="F1039" s="332"/>
      <c r="G1039" s="211"/>
      <c r="W1039" s="211"/>
      <c r="X1039" s="211"/>
    </row>
    <row r="1040" spans="1:24" ht="15.75">
      <c r="A1040" s="29"/>
      <c r="B1040" s="332"/>
      <c r="C1040" s="332"/>
      <c r="D1040" s="332"/>
      <c r="E1040" s="332"/>
      <c r="F1040" s="332"/>
      <c r="G1040" s="211"/>
      <c r="W1040" s="211"/>
      <c r="X1040" s="211"/>
    </row>
    <row r="1041" spans="1:24" ht="15.75">
      <c r="A1041" s="29"/>
      <c r="B1041" s="332"/>
      <c r="C1041" s="332"/>
      <c r="D1041" s="332"/>
      <c r="E1041" s="332"/>
      <c r="F1041" s="332"/>
      <c r="G1041" s="211"/>
      <c r="W1041" s="211"/>
      <c r="X1041" s="211"/>
    </row>
    <row r="1042" spans="1:24" ht="15.75">
      <c r="A1042" s="29"/>
      <c r="B1042" s="332"/>
      <c r="C1042" s="332"/>
      <c r="D1042" s="332"/>
      <c r="E1042" s="332"/>
      <c r="F1042" s="332"/>
      <c r="G1042" s="211"/>
      <c r="W1042" s="211"/>
      <c r="X1042" s="211"/>
    </row>
    <row r="1043" spans="1:24" ht="15.75">
      <c r="A1043" s="29"/>
      <c r="B1043" s="332"/>
      <c r="C1043" s="332"/>
      <c r="D1043" s="332"/>
      <c r="E1043" s="332"/>
      <c r="F1043" s="332"/>
      <c r="G1043" s="211"/>
      <c r="W1043" s="211"/>
      <c r="X1043" s="211"/>
    </row>
    <row r="1044" spans="1:24" ht="15.75">
      <c r="A1044" s="29"/>
      <c r="B1044" s="332"/>
      <c r="C1044" s="332"/>
      <c r="D1044" s="332"/>
      <c r="E1044" s="332"/>
      <c r="F1044" s="332"/>
      <c r="G1044" s="211"/>
      <c r="W1044" s="211"/>
      <c r="X1044" s="211"/>
    </row>
    <row r="1045" spans="1:24" ht="15.75">
      <c r="A1045" s="29"/>
      <c r="B1045" s="332"/>
      <c r="C1045" s="332"/>
      <c r="D1045" s="332"/>
      <c r="E1045" s="332"/>
      <c r="F1045" s="332"/>
      <c r="G1045" s="211"/>
      <c r="W1045" s="211"/>
      <c r="X1045" s="211"/>
    </row>
  </sheetData>
  <sheetProtection/>
  <autoFilter ref="A6:X960"/>
  <mergeCells count="6">
    <mergeCell ref="I18:J18"/>
    <mergeCell ref="I20:J20"/>
    <mergeCell ref="I22:J22"/>
    <mergeCell ref="I24:J24"/>
    <mergeCell ref="D1:X1"/>
    <mergeCell ref="A3:X3"/>
  </mergeCell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870" max="23" man="1"/>
  </rowBreaks>
  <colBreaks count="1" manualBreakCount="1">
    <brk id="24" max="10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M1110"/>
  <sheetViews>
    <sheetView tabSelected="1" view="pageBreakPreview" zoomScale="120" zoomScaleSheetLayoutView="120" workbookViewId="0" topLeftCell="A1">
      <selection activeCell="N14" sqref="N14"/>
    </sheetView>
  </sheetViews>
  <sheetFormatPr defaultColWidth="9.00390625" defaultRowHeight="12.75"/>
  <cols>
    <col min="1" max="1" width="81.75390625" style="20" customWidth="1"/>
    <col min="2" max="2" width="14.75390625" style="363" customWidth="1"/>
    <col min="3" max="3" width="5.375" style="363" customWidth="1"/>
    <col min="4" max="4" width="13.875" style="198" customWidth="1"/>
    <col min="5" max="6" width="10.125" style="5" hidden="1" customWidth="1"/>
    <col min="7" max="7" width="0" style="5" hidden="1" customWidth="1"/>
    <col min="8" max="8" width="2.125" style="34" customWidth="1"/>
    <col min="9" max="16384" width="9.125" style="5" customWidth="1"/>
  </cols>
  <sheetData>
    <row r="1" spans="1:13" s="13" customFormat="1" ht="15.75">
      <c r="A1" s="12"/>
      <c r="B1" s="394" t="s">
        <v>698</v>
      </c>
      <c r="C1" s="397"/>
      <c r="D1" s="397"/>
      <c r="H1" s="31"/>
      <c r="M1" s="14"/>
    </row>
    <row r="2" spans="1:13" s="31" customFormat="1" ht="13.5" customHeight="1">
      <c r="A2" s="29"/>
      <c r="B2" s="394" t="s">
        <v>140</v>
      </c>
      <c r="C2" s="395"/>
      <c r="D2" s="395"/>
      <c r="M2" s="32"/>
    </row>
    <row r="3" spans="1:13" s="31" customFormat="1" ht="12" customHeight="1">
      <c r="A3" s="29"/>
      <c r="B3" s="394" t="s">
        <v>430</v>
      </c>
      <c r="C3" s="395"/>
      <c r="D3" s="395"/>
      <c r="M3" s="32"/>
    </row>
    <row r="4" spans="1:13" s="31" customFormat="1" ht="12" customHeight="1">
      <c r="A4" s="29"/>
      <c r="B4" s="394" t="s">
        <v>383</v>
      </c>
      <c r="C4" s="395"/>
      <c r="D4" s="395"/>
      <c r="M4" s="32"/>
    </row>
    <row r="5" spans="1:13" s="31" customFormat="1" ht="15.75">
      <c r="A5" s="29"/>
      <c r="B5" s="394" t="s">
        <v>704</v>
      </c>
      <c r="C5" s="395"/>
      <c r="D5" s="395"/>
      <c r="M5" s="32"/>
    </row>
    <row r="6" spans="1:3" ht="15.75">
      <c r="A6" s="7"/>
      <c r="B6" s="361"/>
      <c r="C6" s="361"/>
    </row>
    <row r="7" spans="1:13" s="13" customFormat="1" ht="12" customHeight="1">
      <c r="A7" s="12"/>
      <c r="B7" s="394" t="s">
        <v>683</v>
      </c>
      <c r="C7" s="397"/>
      <c r="D7" s="397"/>
      <c r="H7" s="31"/>
      <c r="M7" s="14"/>
    </row>
    <row r="8" spans="1:13" s="31" customFormat="1" ht="13.5" customHeight="1">
      <c r="A8" s="29"/>
      <c r="B8" s="394" t="s">
        <v>140</v>
      </c>
      <c r="C8" s="395"/>
      <c r="D8" s="395"/>
      <c r="M8" s="32"/>
    </row>
    <row r="9" spans="1:13" s="31" customFormat="1" ht="13.5" customHeight="1">
      <c r="A9" s="29"/>
      <c r="B9" s="394" t="s">
        <v>430</v>
      </c>
      <c r="C9" s="395"/>
      <c r="D9" s="395"/>
      <c r="M9" s="32"/>
    </row>
    <row r="10" spans="1:13" s="31" customFormat="1" ht="13.5" customHeight="1">
      <c r="A10" s="29"/>
      <c r="B10" s="394" t="s">
        <v>383</v>
      </c>
      <c r="C10" s="395"/>
      <c r="D10" s="395"/>
      <c r="M10" s="32"/>
    </row>
    <row r="11" spans="1:13" s="31" customFormat="1" ht="13.5" customHeight="1">
      <c r="A11" s="29"/>
      <c r="B11" s="394" t="s">
        <v>672</v>
      </c>
      <c r="C11" s="395"/>
      <c r="D11" s="395"/>
      <c r="M11" s="32"/>
    </row>
    <row r="12" spans="1:4" s="34" customFormat="1" ht="37.5" customHeight="1">
      <c r="A12" s="396" t="s">
        <v>432</v>
      </c>
      <c r="B12" s="396"/>
      <c r="C12" s="396"/>
      <c r="D12" s="396"/>
    </row>
    <row r="13" spans="1:4" s="31" customFormat="1" ht="45">
      <c r="A13" s="41" t="s">
        <v>146</v>
      </c>
      <c r="B13" s="41" t="s">
        <v>145</v>
      </c>
      <c r="C13" s="41" t="s">
        <v>150</v>
      </c>
      <c r="D13" s="376" t="s">
        <v>133</v>
      </c>
    </row>
    <row r="14" spans="1:4" s="39" customFormat="1" ht="15.75">
      <c r="A14" s="42">
        <v>1</v>
      </c>
      <c r="B14" s="43" t="s">
        <v>229</v>
      </c>
      <c r="C14" s="43" t="s">
        <v>230</v>
      </c>
      <c r="D14" s="176" t="s">
        <v>135</v>
      </c>
    </row>
    <row r="15" spans="1:8" s="1" customFormat="1" ht="25.5">
      <c r="A15" s="109" t="s">
        <v>582</v>
      </c>
      <c r="B15" s="127" t="s">
        <v>43</v>
      </c>
      <c r="C15" s="127"/>
      <c r="D15" s="177">
        <f>D16+D19+D22+D25</f>
        <v>9219.2</v>
      </c>
      <c r="H15" s="316"/>
    </row>
    <row r="16" spans="1:8" s="1" customFormat="1" ht="12.75">
      <c r="A16" s="50" t="s">
        <v>115</v>
      </c>
      <c r="B16" s="117" t="s">
        <v>44</v>
      </c>
      <c r="C16" s="117"/>
      <c r="D16" s="178">
        <f>D17</f>
        <v>1140</v>
      </c>
      <c r="H16" s="316"/>
    </row>
    <row r="17" spans="1:8" s="1" customFormat="1" ht="12.75">
      <c r="A17" s="60" t="s">
        <v>226</v>
      </c>
      <c r="B17" s="117" t="s">
        <v>44</v>
      </c>
      <c r="C17" s="117" t="s">
        <v>188</v>
      </c>
      <c r="D17" s="178">
        <f>SUM(D18)</f>
        <v>1140</v>
      </c>
      <c r="H17" s="316"/>
    </row>
    <row r="18" spans="1:8" s="1" customFormat="1" ht="12.75">
      <c r="A18" s="60" t="s">
        <v>189</v>
      </c>
      <c r="B18" s="117" t="s">
        <v>44</v>
      </c>
      <c r="C18" s="117" t="s">
        <v>187</v>
      </c>
      <c r="D18" s="178">
        <v>1140</v>
      </c>
      <c r="H18" s="316"/>
    </row>
    <row r="19" spans="1:8" s="1" customFormat="1" ht="12.75">
      <c r="A19" s="46" t="s">
        <v>117</v>
      </c>
      <c r="B19" s="122" t="s">
        <v>45</v>
      </c>
      <c r="C19" s="117"/>
      <c r="D19" s="178">
        <f>D20</f>
        <v>35.5</v>
      </c>
      <c r="H19" s="316"/>
    </row>
    <row r="20" spans="1:8" s="1" customFormat="1" ht="12.75">
      <c r="A20" s="60" t="s">
        <v>226</v>
      </c>
      <c r="B20" s="122" t="s">
        <v>45</v>
      </c>
      <c r="C20" s="117" t="s">
        <v>188</v>
      </c>
      <c r="D20" s="178">
        <f>D21</f>
        <v>35.5</v>
      </c>
      <c r="H20" s="316"/>
    </row>
    <row r="21" spans="1:8" s="1" customFormat="1" ht="12.75">
      <c r="A21" s="60" t="s">
        <v>189</v>
      </c>
      <c r="B21" s="122" t="s">
        <v>45</v>
      </c>
      <c r="C21" s="117" t="s">
        <v>187</v>
      </c>
      <c r="D21" s="178">
        <v>35.5</v>
      </c>
      <c r="H21" s="316"/>
    </row>
    <row r="22" spans="1:8" s="1" customFormat="1" ht="38.25">
      <c r="A22" s="64" t="s">
        <v>476</v>
      </c>
      <c r="B22" s="114" t="s">
        <v>475</v>
      </c>
      <c r="C22" s="117"/>
      <c r="D22" s="179">
        <f>D23</f>
        <v>2167.7</v>
      </c>
      <c r="H22" s="316"/>
    </row>
    <row r="23" spans="1:8" s="1" customFormat="1" ht="12.75">
      <c r="A23" s="64" t="s">
        <v>89</v>
      </c>
      <c r="B23" s="114"/>
      <c r="C23" s="117" t="s">
        <v>85</v>
      </c>
      <c r="D23" s="179">
        <f>D24</f>
        <v>2167.7</v>
      </c>
      <c r="H23" s="316"/>
    </row>
    <row r="24" spans="1:8" s="1" customFormat="1" ht="12.75">
      <c r="A24" s="64" t="s">
        <v>84</v>
      </c>
      <c r="B24" s="114" t="s">
        <v>475</v>
      </c>
      <c r="C24" s="117" t="s">
        <v>86</v>
      </c>
      <c r="D24" s="179">
        <v>2167.7</v>
      </c>
      <c r="H24" s="316"/>
    </row>
    <row r="25" spans="1:8" s="1" customFormat="1" ht="38.25">
      <c r="A25" s="64" t="s">
        <v>478</v>
      </c>
      <c r="B25" s="114" t="s">
        <v>477</v>
      </c>
      <c r="C25" s="117"/>
      <c r="D25" s="179">
        <f>D26</f>
        <v>5876</v>
      </c>
      <c r="H25" s="316"/>
    </row>
    <row r="26" spans="1:8" s="1" customFormat="1" ht="12.75">
      <c r="A26" s="138" t="s">
        <v>89</v>
      </c>
      <c r="B26" s="114" t="s">
        <v>477</v>
      </c>
      <c r="C26" s="117" t="s">
        <v>85</v>
      </c>
      <c r="D26" s="180">
        <f>D27</f>
        <v>5876</v>
      </c>
      <c r="H26" s="316"/>
    </row>
    <row r="27" spans="1:8" s="1" customFormat="1" ht="12.75">
      <c r="A27" s="50" t="s">
        <v>84</v>
      </c>
      <c r="B27" s="114" t="s">
        <v>477</v>
      </c>
      <c r="C27" s="117" t="s">
        <v>86</v>
      </c>
      <c r="D27" s="178">
        <f>5347.2+146.1+382.7</f>
        <v>5876</v>
      </c>
      <c r="H27" s="316"/>
    </row>
    <row r="28" spans="1:8" s="1" customFormat="1" ht="25.5">
      <c r="A28" s="125" t="s">
        <v>545</v>
      </c>
      <c r="B28" s="144" t="s">
        <v>11</v>
      </c>
      <c r="C28" s="144"/>
      <c r="D28" s="181">
        <f>D29+D75+D145+D183</f>
        <v>776771.737</v>
      </c>
      <c r="E28" s="19"/>
      <c r="F28" s="113"/>
      <c r="H28" s="316"/>
    </row>
    <row r="29" spans="1:6" ht="26.25">
      <c r="A29" s="59" t="s">
        <v>544</v>
      </c>
      <c r="B29" s="145" t="s">
        <v>12</v>
      </c>
      <c r="C29" s="145"/>
      <c r="D29" s="182">
        <f>D30+D33+D36+D39+D42+D45+D48+D51+D57+D60+D63+D66+D69+D72+D54</f>
        <v>265467.38999999996</v>
      </c>
      <c r="E29" s="17">
        <f>D29-D32-D53-D59-D56</f>
        <v>157217.99999999997</v>
      </c>
      <c r="F29" s="112"/>
    </row>
    <row r="30" spans="1:6" ht="15.75">
      <c r="A30" s="143" t="s">
        <v>104</v>
      </c>
      <c r="B30" s="115" t="s">
        <v>27</v>
      </c>
      <c r="C30" s="115"/>
      <c r="D30" s="183">
        <f>D31</f>
        <v>105779.1</v>
      </c>
      <c r="F30" s="17"/>
    </row>
    <row r="31" spans="1:4" ht="26.25">
      <c r="A31" s="79" t="s">
        <v>190</v>
      </c>
      <c r="B31" s="115" t="s">
        <v>27</v>
      </c>
      <c r="C31" s="115" t="s">
        <v>178</v>
      </c>
      <c r="D31" s="183">
        <f>D32</f>
        <v>105779.1</v>
      </c>
    </row>
    <row r="32" spans="1:6" ht="15.75">
      <c r="A32" s="83" t="s">
        <v>191</v>
      </c>
      <c r="B32" s="115" t="s">
        <v>27</v>
      </c>
      <c r="C32" s="115" t="s">
        <v>192</v>
      </c>
      <c r="D32" s="183">
        <v>105779.1</v>
      </c>
      <c r="F32" s="17">
        <f>D32+D70+D134+D137</f>
        <v>105911.70000000001</v>
      </c>
    </row>
    <row r="33" spans="1:4" ht="15.75">
      <c r="A33" s="84" t="s">
        <v>216</v>
      </c>
      <c r="B33" s="115" t="s">
        <v>217</v>
      </c>
      <c r="C33" s="115"/>
      <c r="D33" s="183">
        <f>D34</f>
        <v>620</v>
      </c>
    </row>
    <row r="34" spans="1:4" ht="26.25">
      <c r="A34" s="79" t="s">
        <v>190</v>
      </c>
      <c r="B34" s="115" t="s">
        <v>217</v>
      </c>
      <c r="C34" s="115" t="s">
        <v>178</v>
      </c>
      <c r="D34" s="183">
        <f>D35</f>
        <v>620</v>
      </c>
    </row>
    <row r="35" spans="1:8" s="4" customFormat="1" ht="12.75">
      <c r="A35" s="83" t="s">
        <v>191</v>
      </c>
      <c r="B35" s="115" t="s">
        <v>217</v>
      </c>
      <c r="C35" s="115" t="s">
        <v>192</v>
      </c>
      <c r="D35" s="183">
        <v>620</v>
      </c>
      <c r="H35" s="317"/>
    </row>
    <row r="36" spans="1:8" s="4" customFormat="1" ht="12.75">
      <c r="A36" s="83" t="s">
        <v>7</v>
      </c>
      <c r="B36" s="115" t="s">
        <v>584</v>
      </c>
      <c r="C36" s="115"/>
      <c r="D36" s="183">
        <f>D37</f>
        <v>300</v>
      </c>
      <c r="H36" s="317"/>
    </row>
    <row r="37" spans="1:8" s="4" customFormat="1" ht="25.5">
      <c r="A37" s="79" t="s">
        <v>190</v>
      </c>
      <c r="B37" s="117" t="s">
        <v>584</v>
      </c>
      <c r="C37" s="115" t="s">
        <v>178</v>
      </c>
      <c r="D37" s="183">
        <f>D38</f>
        <v>300</v>
      </c>
      <c r="H37" s="317"/>
    </row>
    <row r="38" spans="1:8" s="4" customFormat="1" ht="12.75">
      <c r="A38" s="83" t="s">
        <v>191</v>
      </c>
      <c r="B38" s="117" t="s">
        <v>584</v>
      </c>
      <c r="C38" s="115" t="s">
        <v>192</v>
      </c>
      <c r="D38" s="183">
        <v>300</v>
      </c>
      <c r="H38" s="317"/>
    </row>
    <row r="39" spans="1:8" s="4" customFormat="1" ht="12.75">
      <c r="A39" s="84" t="s">
        <v>266</v>
      </c>
      <c r="B39" s="115" t="s">
        <v>25</v>
      </c>
      <c r="C39" s="115"/>
      <c r="D39" s="183">
        <f>D40</f>
        <v>600</v>
      </c>
      <c r="H39" s="317"/>
    </row>
    <row r="40" spans="1:8" s="4" customFormat="1" ht="25.5">
      <c r="A40" s="79" t="s">
        <v>190</v>
      </c>
      <c r="B40" s="115" t="s">
        <v>25</v>
      </c>
      <c r="C40" s="115" t="s">
        <v>178</v>
      </c>
      <c r="D40" s="183">
        <f>D41</f>
        <v>600</v>
      </c>
      <c r="H40" s="317"/>
    </row>
    <row r="41" spans="1:8" s="4" customFormat="1" ht="12.75">
      <c r="A41" s="83" t="s">
        <v>191</v>
      </c>
      <c r="B41" s="115" t="s">
        <v>25</v>
      </c>
      <c r="C41" s="115" t="s">
        <v>192</v>
      </c>
      <c r="D41" s="183">
        <v>600</v>
      </c>
      <c r="H41" s="317"/>
    </row>
    <row r="42" spans="1:8" s="4" customFormat="1" ht="25.5">
      <c r="A42" s="84" t="s">
        <v>267</v>
      </c>
      <c r="B42" s="115" t="s">
        <v>26</v>
      </c>
      <c r="C42" s="115"/>
      <c r="D42" s="183">
        <f>D43</f>
        <v>100</v>
      </c>
      <c r="H42" s="317"/>
    </row>
    <row r="43" spans="1:4" ht="26.25">
      <c r="A43" s="79" t="s">
        <v>190</v>
      </c>
      <c r="B43" s="115" t="s">
        <v>26</v>
      </c>
      <c r="C43" s="115" t="s">
        <v>178</v>
      </c>
      <c r="D43" s="183">
        <f>D44</f>
        <v>100</v>
      </c>
    </row>
    <row r="44" spans="1:4" ht="15.75">
      <c r="A44" s="83" t="s">
        <v>191</v>
      </c>
      <c r="B44" s="115" t="s">
        <v>26</v>
      </c>
      <c r="C44" s="115" t="s">
        <v>192</v>
      </c>
      <c r="D44" s="183">
        <v>100</v>
      </c>
    </row>
    <row r="45" spans="1:4" ht="15.75">
      <c r="A45" s="84" t="s">
        <v>268</v>
      </c>
      <c r="B45" s="115" t="s">
        <v>425</v>
      </c>
      <c r="C45" s="115"/>
      <c r="D45" s="183">
        <f>D46</f>
        <v>870.6</v>
      </c>
    </row>
    <row r="46" spans="1:4" ht="26.25">
      <c r="A46" s="79" t="s">
        <v>190</v>
      </c>
      <c r="B46" s="115" t="s">
        <v>425</v>
      </c>
      <c r="C46" s="115" t="s">
        <v>178</v>
      </c>
      <c r="D46" s="183">
        <f>D47</f>
        <v>870.6</v>
      </c>
    </row>
    <row r="47" spans="1:4" ht="15.75">
      <c r="A47" s="83" t="s">
        <v>191</v>
      </c>
      <c r="B47" s="115" t="s">
        <v>425</v>
      </c>
      <c r="C47" s="115" t="s">
        <v>192</v>
      </c>
      <c r="D47" s="183">
        <v>870.6</v>
      </c>
    </row>
    <row r="48" spans="1:4" ht="15.75">
      <c r="A48" s="84" t="s">
        <v>335</v>
      </c>
      <c r="B48" s="115" t="s">
        <v>426</v>
      </c>
      <c r="C48" s="115"/>
      <c r="D48" s="183">
        <f>D49</f>
        <v>50</v>
      </c>
    </row>
    <row r="49" spans="1:4" ht="26.25">
      <c r="A49" s="79" t="s">
        <v>190</v>
      </c>
      <c r="B49" s="115" t="s">
        <v>426</v>
      </c>
      <c r="C49" s="115" t="s">
        <v>178</v>
      </c>
      <c r="D49" s="183">
        <f>D50</f>
        <v>50</v>
      </c>
    </row>
    <row r="50" spans="1:4" ht="15.75">
      <c r="A50" s="83" t="s">
        <v>191</v>
      </c>
      <c r="B50" s="115" t="s">
        <v>426</v>
      </c>
      <c r="C50" s="115" t="s">
        <v>192</v>
      </c>
      <c r="D50" s="183">
        <v>50</v>
      </c>
    </row>
    <row r="51" spans="1:4" ht="191.25">
      <c r="A51" s="84" t="s">
        <v>686</v>
      </c>
      <c r="B51" s="115" t="s">
        <v>687</v>
      </c>
      <c r="C51" s="115"/>
      <c r="D51" s="183">
        <f>D52</f>
        <v>229.77</v>
      </c>
    </row>
    <row r="52" spans="1:4" ht="26.25">
      <c r="A52" s="79" t="s">
        <v>190</v>
      </c>
      <c r="B52" s="115" t="s">
        <v>687</v>
      </c>
      <c r="C52" s="115" t="s">
        <v>178</v>
      </c>
      <c r="D52" s="183">
        <f>D53</f>
        <v>229.77</v>
      </c>
    </row>
    <row r="53" spans="1:4" ht="15.75">
      <c r="A53" s="327" t="s">
        <v>191</v>
      </c>
      <c r="B53" s="115" t="s">
        <v>687</v>
      </c>
      <c r="C53" s="115" t="s">
        <v>192</v>
      </c>
      <c r="D53" s="183">
        <v>229.77</v>
      </c>
    </row>
    <row r="54" spans="1:4" ht="15.75">
      <c r="A54" s="84" t="s">
        <v>585</v>
      </c>
      <c r="B54" s="117" t="s">
        <v>705</v>
      </c>
      <c r="C54" s="115"/>
      <c r="D54" s="183">
        <f>D55</f>
        <v>1011.334</v>
      </c>
    </row>
    <row r="55" spans="1:4" ht="26.25">
      <c r="A55" s="79" t="s">
        <v>190</v>
      </c>
      <c r="B55" s="117" t="s">
        <v>705</v>
      </c>
      <c r="C55" s="115" t="s">
        <v>178</v>
      </c>
      <c r="D55" s="183">
        <f>D56</f>
        <v>1011.334</v>
      </c>
    </row>
    <row r="56" spans="1:4" ht="15.75">
      <c r="A56" s="83" t="s">
        <v>191</v>
      </c>
      <c r="B56" s="117" t="s">
        <v>705</v>
      </c>
      <c r="C56" s="115" t="s">
        <v>192</v>
      </c>
      <c r="D56" s="183">
        <v>1011.334</v>
      </c>
    </row>
    <row r="57" spans="1:8" s="4" customFormat="1" ht="51">
      <c r="A57" s="85" t="s">
        <v>467</v>
      </c>
      <c r="B57" s="115" t="s">
        <v>244</v>
      </c>
      <c r="C57" s="115"/>
      <c r="D57" s="183">
        <f>D58</f>
        <v>1229.186</v>
      </c>
      <c r="H57" s="317"/>
    </row>
    <row r="58" spans="1:8" s="4" customFormat="1" ht="25.5">
      <c r="A58" s="79" t="s">
        <v>190</v>
      </c>
      <c r="B58" s="115" t="s">
        <v>244</v>
      </c>
      <c r="C58" s="115" t="s">
        <v>178</v>
      </c>
      <c r="D58" s="183">
        <f>D59</f>
        <v>1229.186</v>
      </c>
      <c r="H58" s="317"/>
    </row>
    <row r="59" spans="1:8" s="4" customFormat="1" ht="12.75">
      <c r="A59" s="83" t="s">
        <v>191</v>
      </c>
      <c r="B59" s="115" t="s">
        <v>244</v>
      </c>
      <c r="C59" s="115" t="s">
        <v>192</v>
      </c>
      <c r="D59" s="183">
        <v>1229.186</v>
      </c>
      <c r="H59" s="317"/>
    </row>
    <row r="60" spans="1:8" s="4" customFormat="1" ht="12.75">
      <c r="A60" s="78" t="s">
        <v>272</v>
      </c>
      <c r="B60" s="115" t="s">
        <v>78</v>
      </c>
      <c r="C60" s="115"/>
      <c r="D60" s="178">
        <f>D61</f>
        <v>144906</v>
      </c>
      <c r="H60" s="317"/>
    </row>
    <row r="61" spans="1:8" s="4" customFormat="1" ht="25.5">
      <c r="A61" s="79" t="s">
        <v>190</v>
      </c>
      <c r="B61" s="115" t="s">
        <v>78</v>
      </c>
      <c r="C61" s="115" t="s">
        <v>178</v>
      </c>
      <c r="D61" s="183">
        <f>D62</f>
        <v>144906</v>
      </c>
      <c r="H61" s="317"/>
    </row>
    <row r="62" spans="1:8" s="4" customFormat="1" ht="12.75">
      <c r="A62" s="83" t="s">
        <v>191</v>
      </c>
      <c r="B62" s="117" t="s">
        <v>78</v>
      </c>
      <c r="C62" s="117" t="s">
        <v>192</v>
      </c>
      <c r="D62" s="183">
        <v>144906</v>
      </c>
      <c r="H62" s="317"/>
    </row>
    <row r="63" spans="1:8" s="4" customFormat="1" ht="25.5">
      <c r="A63" s="83" t="s">
        <v>250</v>
      </c>
      <c r="B63" s="115" t="s">
        <v>79</v>
      </c>
      <c r="C63" s="115"/>
      <c r="D63" s="183">
        <f>D64</f>
        <v>8080.7</v>
      </c>
      <c r="H63" s="317"/>
    </row>
    <row r="64" spans="1:8" s="4" customFormat="1" ht="25.5">
      <c r="A64" s="83" t="s">
        <v>190</v>
      </c>
      <c r="B64" s="115" t="s">
        <v>79</v>
      </c>
      <c r="C64" s="115" t="s">
        <v>178</v>
      </c>
      <c r="D64" s="183">
        <f>D65</f>
        <v>8080.7</v>
      </c>
      <c r="H64" s="317"/>
    </row>
    <row r="65" spans="1:8" s="4" customFormat="1" ht="12.75">
      <c r="A65" s="83" t="s">
        <v>191</v>
      </c>
      <c r="B65" s="115" t="s">
        <v>79</v>
      </c>
      <c r="C65" s="115" t="s">
        <v>192</v>
      </c>
      <c r="D65" s="183">
        <v>8080.7</v>
      </c>
      <c r="H65" s="317"/>
    </row>
    <row r="66" spans="1:4" ht="15.75">
      <c r="A66" s="84" t="s">
        <v>585</v>
      </c>
      <c r="B66" s="117" t="s">
        <v>586</v>
      </c>
      <c r="C66" s="115"/>
      <c r="D66" s="183">
        <f>D67</f>
        <v>1031.6</v>
      </c>
    </row>
    <row r="67" spans="1:4" ht="26.25">
      <c r="A67" s="79" t="s">
        <v>190</v>
      </c>
      <c r="B67" s="117" t="s">
        <v>586</v>
      </c>
      <c r="C67" s="115" t="s">
        <v>178</v>
      </c>
      <c r="D67" s="183">
        <f>D68</f>
        <v>1031.6</v>
      </c>
    </row>
    <row r="68" spans="1:4" ht="15.75">
      <c r="A68" s="83" t="s">
        <v>191</v>
      </c>
      <c r="B68" s="117" t="s">
        <v>586</v>
      </c>
      <c r="C68" s="115" t="s">
        <v>192</v>
      </c>
      <c r="D68" s="183">
        <f>800+231.6</f>
        <v>1031.6</v>
      </c>
    </row>
    <row r="69" spans="1:8" s="13" customFormat="1" ht="64.5">
      <c r="A69" s="83" t="s">
        <v>552</v>
      </c>
      <c r="B69" s="115" t="s">
        <v>412</v>
      </c>
      <c r="C69" s="115"/>
      <c r="D69" s="183">
        <f>D70</f>
        <v>50</v>
      </c>
      <c r="E69" s="100">
        <f>D69-D72-78.8-9.8-14.1-890-16750.5-252878.6-4548.7-22204.8</f>
        <v>-297934.4</v>
      </c>
      <c r="H69" s="31"/>
    </row>
    <row r="70" spans="1:4" ht="26.25">
      <c r="A70" s="79" t="s">
        <v>190</v>
      </c>
      <c r="B70" s="115" t="s">
        <v>412</v>
      </c>
      <c r="C70" s="115" t="s">
        <v>178</v>
      </c>
      <c r="D70" s="183">
        <f>D71</f>
        <v>50</v>
      </c>
    </row>
    <row r="71" spans="1:4" ht="15.75">
      <c r="A71" s="83" t="s">
        <v>191</v>
      </c>
      <c r="B71" s="115" t="s">
        <v>412</v>
      </c>
      <c r="C71" s="115" t="s">
        <v>192</v>
      </c>
      <c r="D71" s="183">
        <v>50</v>
      </c>
    </row>
    <row r="72" spans="1:4" ht="38.25">
      <c r="A72" s="71" t="s">
        <v>595</v>
      </c>
      <c r="B72" s="117" t="s">
        <v>596</v>
      </c>
      <c r="C72" s="117"/>
      <c r="D72" s="183">
        <f>D73</f>
        <v>609.1</v>
      </c>
    </row>
    <row r="73" spans="1:4" ht="26.25">
      <c r="A73" s="63" t="s">
        <v>190</v>
      </c>
      <c r="B73" s="117" t="s">
        <v>596</v>
      </c>
      <c r="C73" s="117" t="s">
        <v>178</v>
      </c>
      <c r="D73" s="183">
        <f>D74</f>
        <v>609.1</v>
      </c>
    </row>
    <row r="74" spans="1:4" ht="15.75">
      <c r="A74" s="50" t="s">
        <v>191</v>
      </c>
      <c r="B74" s="117" t="s">
        <v>596</v>
      </c>
      <c r="C74" s="117" t="s">
        <v>192</v>
      </c>
      <c r="D74" s="183">
        <v>609.1</v>
      </c>
    </row>
    <row r="75" spans="1:4" ht="26.25">
      <c r="A75" s="59" t="s">
        <v>543</v>
      </c>
      <c r="B75" s="145" t="s">
        <v>28</v>
      </c>
      <c r="C75" s="145"/>
      <c r="D75" s="184">
        <f>D76+D79+D82+D85+D88+D94+D97+D100+D103+D109+D112+D139+D115+D118+D124+D127+D130+D133+D136+D142+D121+D106</f>
        <v>459593.54699999996</v>
      </c>
    </row>
    <row r="76" spans="1:4" ht="27" customHeight="1">
      <c r="A76" s="143" t="s">
        <v>104</v>
      </c>
      <c r="B76" s="115" t="s">
        <v>29</v>
      </c>
      <c r="C76" s="115"/>
      <c r="D76" s="183">
        <f>D77</f>
        <v>146838.8</v>
      </c>
    </row>
    <row r="77" spans="1:4" ht="26.25">
      <c r="A77" s="79" t="s">
        <v>190</v>
      </c>
      <c r="B77" s="115" t="s">
        <v>29</v>
      </c>
      <c r="C77" s="115" t="s">
        <v>178</v>
      </c>
      <c r="D77" s="178">
        <f>D78</f>
        <v>146838.8</v>
      </c>
    </row>
    <row r="78" spans="1:4" ht="15.75">
      <c r="A78" s="83" t="s">
        <v>191</v>
      </c>
      <c r="B78" s="115" t="s">
        <v>29</v>
      </c>
      <c r="C78" s="115" t="s">
        <v>192</v>
      </c>
      <c r="D78" s="178">
        <v>146838.8</v>
      </c>
    </row>
    <row r="79" spans="1:8" s="4" customFormat="1" ht="12.75">
      <c r="A79" s="84" t="s">
        <v>216</v>
      </c>
      <c r="B79" s="115" t="s">
        <v>222</v>
      </c>
      <c r="C79" s="115"/>
      <c r="D79" s="178">
        <f>D80</f>
        <v>1000</v>
      </c>
      <c r="H79" s="317"/>
    </row>
    <row r="80" spans="1:8" s="4" customFormat="1" ht="25.5">
      <c r="A80" s="79" t="s">
        <v>190</v>
      </c>
      <c r="B80" s="115" t="s">
        <v>222</v>
      </c>
      <c r="C80" s="115" t="s">
        <v>178</v>
      </c>
      <c r="D80" s="178">
        <f>D81</f>
        <v>1000</v>
      </c>
      <c r="H80" s="317"/>
    </row>
    <row r="81" spans="1:8" s="4" customFormat="1" ht="12.75">
      <c r="A81" s="83" t="s">
        <v>191</v>
      </c>
      <c r="B81" s="115" t="s">
        <v>222</v>
      </c>
      <c r="C81" s="115" t="s">
        <v>192</v>
      </c>
      <c r="D81" s="178">
        <v>1000</v>
      </c>
      <c r="H81" s="317"/>
    </row>
    <row r="82" spans="1:8" s="4" customFormat="1" ht="25.5">
      <c r="A82" s="304" t="s">
        <v>632</v>
      </c>
      <c r="B82" s="115" t="s">
        <v>413</v>
      </c>
      <c r="C82" s="115"/>
      <c r="D82" s="178">
        <f>D83</f>
        <v>1000</v>
      </c>
      <c r="H82" s="317"/>
    </row>
    <row r="83" spans="1:8" s="4" customFormat="1" ht="25.5">
      <c r="A83" s="79" t="s">
        <v>190</v>
      </c>
      <c r="B83" s="115" t="s">
        <v>413</v>
      </c>
      <c r="C83" s="115" t="s">
        <v>178</v>
      </c>
      <c r="D83" s="178">
        <f>D84</f>
        <v>1000</v>
      </c>
      <c r="H83" s="317"/>
    </row>
    <row r="84" spans="1:8" s="4" customFormat="1" ht="12.75">
      <c r="A84" s="83" t="s">
        <v>191</v>
      </c>
      <c r="B84" s="115" t="s">
        <v>413</v>
      </c>
      <c r="C84" s="115" t="s">
        <v>192</v>
      </c>
      <c r="D84" s="178">
        <v>1000</v>
      </c>
      <c r="H84" s="317"/>
    </row>
    <row r="85" spans="1:8" s="4" customFormat="1" ht="12.75">
      <c r="A85" s="84" t="s">
        <v>266</v>
      </c>
      <c r="B85" s="115" t="s">
        <v>30</v>
      </c>
      <c r="C85" s="115"/>
      <c r="D85" s="178">
        <f>D86</f>
        <v>2560.1</v>
      </c>
      <c r="H85" s="317"/>
    </row>
    <row r="86" spans="1:8" s="4" customFormat="1" ht="25.5">
      <c r="A86" s="79" t="s">
        <v>190</v>
      </c>
      <c r="B86" s="115" t="s">
        <v>30</v>
      </c>
      <c r="C86" s="115" t="s">
        <v>178</v>
      </c>
      <c r="D86" s="178">
        <f>D87</f>
        <v>2560.1</v>
      </c>
      <c r="H86" s="317"/>
    </row>
    <row r="87" spans="1:8" s="4" customFormat="1" ht="12.75">
      <c r="A87" s="83" t="s">
        <v>191</v>
      </c>
      <c r="B87" s="115" t="s">
        <v>30</v>
      </c>
      <c r="C87" s="115" t="s">
        <v>192</v>
      </c>
      <c r="D87" s="178">
        <v>2560.1</v>
      </c>
      <c r="H87" s="317"/>
    </row>
    <row r="88" spans="1:8" s="4" customFormat="1" ht="25.5">
      <c r="A88" s="84" t="s">
        <v>267</v>
      </c>
      <c r="B88" s="115" t="s">
        <v>31</v>
      </c>
      <c r="C88" s="115"/>
      <c r="D88" s="178">
        <f>D92+D89</f>
        <v>422.5</v>
      </c>
      <c r="H88" s="317"/>
    </row>
    <row r="89" spans="1:8" s="4" customFormat="1" ht="12.75">
      <c r="A89" s="140" t="s">
        <v>89</v>
      </c>
      <c r="B89" s="115" t="s">
        <v>31</v>
      </c>
      <c r="C89" s="115" t="s">
        <v>85</v>
      </c>
      <c r="D89" s="178">
        <f>D90+D91</f>
        <v>252.5</v>
      </c>
      <c r="H89" s="317"/>
    </row>
    <row r="90" spans="1:8" s="4" customFormat="1" ht="12.75">
      <c r="A90" s="85" t="s">
        <v>84</v>
      </c>
      <c r="B90" s="115" t="s">
        <v>31</v>
      </c>
      <c r="C90" s="115" t="s">
        <v>86</v>
      </c>
      <c r="D90" s="178">
        <v>180</v>
      </c>
      <c r="H90" s="317"/>
    </row>
    <row r="91" spans="1:8" s="4" customFormat="1" ht="12.75">
      <c r="A91" s="85" t="s">
        <v>235</v>
      </c>
      <c r="B91" s="115" t="s">
        <v>31</v>
      </c>
      <c r="C91" s="115" t="s">
        <v>234</v>
      </c>
      <c r="D91" s="178">
        <v>72.5</v>
      </c>
      <c r="H91" s="317"/>
    </row>
    <row r="92" spans="1:8" s="4" customFormat="1" ht="25.5">
      <c r="A92" s="79" t="s">
        <v>190</v>
      </c>
      <c r="B92" s="115" t="s">
        <v>31</v>
      </c>
      <c r="C92" s="115" t="s">
        <v>178</v>
      </c>
      <c r="D92" s="178">
        <f>D93</f>
        <v>170</v>
      </c>
      <c r="H92" s="317"/>
    </row>
    <row r="93" spans="1:8" s="4" customFormat="1" ht="12.75">
      <c r="A93" s="83" t="s">
        <v>191</v>
      </c>
      <c r="B93" s="115" t="s">
        <v>31</v>
      </c>
      <c r="C93" s="115" t="s">
        <v>192</v>
      </c>
      <c r="D93" s="178">
        <v>170</v>
      </c>
      <c r="H93" s="317"/>
    </row>
    <row r="94" spans="1:8" s="4" customFormat="1" ht="29.25" customHeight="1">
      <c r="A94" s="84" t="s">
        <v>268</v>
      </c>
      <c r="B94" s="115" t="s">
        <v>32</v>
      </c>
      <c r="C94" s="115"/>
      <c r="D94" s="178">
        <f>D95</f>
        <v>2853.4</v>
      </c>
      <c r="H94" s="317"/>
    </row>
    <row r="95" spans="1:8" s="4" customFormat="1" ht="25.5">
      <c r="A95" s="79" t="s">
        <v>190</v>
      </c>
      <c r="B95" s="115" t="s">
        <v>32</v>
      </c>
      <c r="C95" s="115" t="s">
        <v>178</v>
      </c>
      <c r="D95" s="178">
        <f>D96</f>
        <v>2853.4</v>
      </c>
      <c r="H95" s="317"/>
    </row>
    <row r="96" spans="1:8" s="4" customFormat="1" ht="12.75">
      <c r="A96" s="83" t="s">
        <v>191</v>
      </c>
      <c r="B96" s="115" t="s">
        <v>32</v>
      </c>
      <c r="C96" s="115" t="s">
        <v>192</v>
      </c>
      <c r="D96" s="178">
        <v>2853.4</v>
      </c>
      <c r="H96" s="317"/>
    </row>
    <row r="97" spans="1:8" s="1" customFormat="1" ht="12.75">
      <c r="A97" s="83" t="s">
        <v>335</v>
      </c>
      <c r="B97" s="115" t="s">
        <v>421</v>
      </c>
      <c r="C97" s="115"/>
      <c r="D97" s="178">
        <f>D98</f>
        <v>750</v>
      </c>
      <c r="H97" s="316"/>
    </row>
    <row r="98" spans="1:8" s="1" customFormat="1" ht="25.5">
      <c r="A98" s="79" t="s">
        <v>190</v>
      </c>
      <c r="B98" s="115" t="s">
        <v>421</v>
      </c>
      <c r="C98" s="115" t="s">
        <v>178</v>
      </c>
      <c r="D98" s="178">
        <f>D99</f>
        <v>750</v>
      </c>
      <c r="H98" s="316"/>
    </row>
    <row r="99" spans="1:8" s="1" customFormat="1" ht="12.75">
      <c r="A99" s="83" t="s">
        <v>191</v>
      </c>
      <c r="B99" s="115" t="s">
        <v>421</v>
      </c>
      <c r="C99" s="115" t="s">
        <v>192</v>
      </c>
      <c r="D99" s="178">
        <f>50+700</f>
        <v>750</v>
      </c>
      <c r="H99" s="316"/>
    </row>
    <row r="100" spans="1:8" s="1" customFormat="1" ht="12.75">
      <c r="A100" s="84" t="s">
        <v>257</v>
      </c>
      <c r="B100" s="115" t="s">
        <v>258</v>
      </c>
      <c r="C100" s="115"/>
      <c r="D100" s="185">
        <f>D101</f>
        <v>2333.5</v>
      </c>
      <c r="H100" s="316"/>
    </row>
    <row r="101" spans="1:8" s="1" customFormat="1" ht="25.5">
      <c r="A101" s="79" t="s">
        <v>190</v>
      </c>
      <c r="B101" s="115" t="s">
        <v>258</v>
      </c>
      <c r="C101" s="115" t="s">
        <v>178</v>
      </c>
      <c r="D101" s="185">
        <f>D102</f>
        <v>2333.5</v>
      </c>
      <c r="H101" s="316"/>
    </row>
    <row r="102" spans="1:8" s="1" customFormat="1" ht="12.75">
      <c r="A102" s="83" t="s">
        <v>191</v>
      </c>
      <c r="B102" s="115" t="s">
        <v>258</v>
      </c>
      <c r="C102" s="115" t="s">
        <v>192</v>
      </c>
      <c r="D102" s="185">
        <v>2333.5</v>
      </c>
      <c r="H102" s="316"/>
    </row>
    <row r="103" spans="1:8" s="4" customFormat="1" ht="25.5">
      <c r="A103" s="83" t="s">
        <v>604</v>
      </c>
      <c r="B103" s="117" t="s">
        <v>603</v>
      </c>
      <c r="C103" s="117"/>
      <c r="D103" s="178">
        <f>D104</f>
        <v>950</v>
      </c>
      <c r="H103" s="317"/>
    </row>
    <row r="104" spans="1:8" s="4" customFormat="1" ht="25.5">
      <c r="A104" s="79" t="s">
        <v>190</v>
      </c>
      <c r="B104" s="117" t="s">
        <v>603</v>
      </c>
      <c r="C104" s="117" t="s">
        <v>178</v>
      </c>
      <c r="D104" s="178">
        <f>D105</f>
        <v>950</v>
      </c>
      <c r="H104" s="317"/>
    </row>
    <row r="105" spans="1:8" s="4" customFormat="1" ht="12.75">
      <c r="A105" s="83" t="s">
        <v>191</v>
      </c>
      <c r="B105" s="117" t="s">
        <v>603</v>
      </c>
      <c r="C105" s="117" t="s">
        <v>192</v>
      </c>
      <c r="D105" s="178">
        <v>950</v>
      </c>
      <c r="H105" s="317"/>
    </row>
    <row r="106" spans="1:4" ht="26.25">
      <c r="A106" s="50" t="s">
        <v>389</v>
      </c>
      <c r="B106" s="115" t="s">
        <v>390</v>
      </c>
      <c r="C106" s="115"/>
      <c r="D106" s="178">
        <f>D107</f>
        <v>22330.985</v>
      </c>
    </row>
    <row r="107" spans="1:4" ht="26.25">
      <c r="A107" s="50" t="s">
        <v>190</v>
      </c>
      <c r="B107" s="115" t="s">
        <v>390</v>
      </c>
      <c r="C107" s="115" t="s">
        <v>178</v>
      </c>
      <c r="D107" s="178">
        <f>D108</f>
        <v>22330.985</v>
      </c>
    </row>
    <row r="108" spans="1:5" ht="15.75">
      <c r="A108" s="50" t="s">
        <v>191</v>
      </c>
      <c r="B108" s="115" t="s">
        <v>390</v>
      </c>
      <c r="C108" s="115" t="s">
        <v>192</v>
      </c>
      <c r="D108" s="178">
        <v>22330.985</v>
      </c>
      <c r="E108" s="17"/>
    </row>
    <row r="109" spans="1:8" s="4" customFormat="1" ht="12.75">
      <c r="A109" s="89" t="s">
        <v>624</v>
      </c>
      <c r="B109" s="117" t="s">
        <v>623</v>
      </c>
      <c r="C109" s="115"/>
      <c r="D109" s="183">
        <f>D110</f>
        <v>500</v>
      </c>
      <c r="H109" s="317"/>
    </row>
    <row r="110" spans="1:8" s="4" customFormat="1" ht="25.5">
      <c r="A110" s="63" t="s">
        <v>190</v>
      </c>
      <c r="B110" s="117" t="s">
        <v>623</v>
      </c>
      <c r="C110" s="115" t="s">
        <v>178</v>
      </c>
      <c r="D110" s="183">
        <f>D111</f>
        <v>500</v>
      </c>
      <c r="H110" s="317"/>
    </row>
    <row r="111" spans="1:8" s="4" customFormat="1" ht="12.75">
      <c r="A111" s="83" t="s">
        <v>191</v>
      </c>
      <c r="B111" s="117" t="s">
        <v>623</v>
      </c>
      <c r="C111" s="115" t="s">
        <v>192</v>
      </c>
      <c r="D111" s="183">
        <v>500</v>
      </c>
      <c r="H111" s="317"/>
    </row>
    <row r="112" spans="1:8" s="4" customFormat="1" ht="191.25">
      <c r="A112" s="84" t="s">
        <v>686</v>
      </c>
      <c r="B112" s="115" t="s">
        <v>688</v>
      </c>
      <c r="C112" s="115"/>
      <c r="D112" s="183">
        <f>D113</f>
        <v>338.542</v>
      </c>
      <c r="H112" s="317"/>
    </row>
    <row r="113" spans="1:8" s="4" customFormat="1" ht="25.5">
      <c r="A113" s="79" t="s">
        <v>190</v>
      </c>
      <c r="B113" s="115" t="s">
        <v>688</v>
      </c>
      <c r="C113" s="115" t="s">
        <v>178</v>
      </c>
      <c r="D113" s="183">
        <f>D114</f>
        <v>338.542</v>
      </c>
      <c r="H113" s="317"/>
    </row>
    <row r="114" spans="1:8" s="4" customFormat="1" ht="12.75">
      <c r="A114" s="327" t="s">
        <v>191</v>
      </c>
      <c r="B114" s="115" t="s">
        <v>688</v>
      </c>
      <c r="C114" s="115" t="s">
        <v>192</v>
      </c>
      <c r="D114" s="183">
        <v>338.542</v>
      </c>
      <c r="H114" s="317"/>
    </row>
    <row r="115" spans="1:8" s="4" customFormat="1" ht="51">
      <c r="A115" s="85" t="s">
        <v>249</v>
      </c>
      <c r="B115" s="115" t="s">
        <v>245</v>
      </c>
      <c r="C115" s="115"/>
      <c r="D115" s="183">
        <f>D116</f>
        <v>3890.9580000000005</v>
      </c>
      <c r="H115" s="317"/>
    </row>
    <row r="116" spans="1:8" s="4" customFormat="1" ht="25.5">
      <c r="A116" s="79" t="s">
        <v>190</v>
      </c>
      <c r="B116" s="115" t="s">
        <v>245</v>
      </c>
      <c r="C116" s="115" t="s">
        <v>178</v>
      </c>
      <c r="D116" s="183">
        <f>D117</f>
        <v>3890.9580000000005</v>
      </c>
      <c r="H116" s="317"/>
    </row>
    <row r="117" spans="1:8" s="4" customFormat="1" ht="12.75">
      <c r="A117" s="83" t="s">
        <v>191</v>
      </c>
      <c r="B117" s="115" t="s">
        <v>245</v>
      </c>
      <c r="C117" s="115" t="s">
        <v>192</v>
      </c>
      <c r="D117" s="183">
        <f>4548.658-657.7</f>
        <v>3890.9580000000005</v>
      </c>
      <c r="H117" s="317"/>
    </row>
    <row r="118" spans="1:8" s="4" customFormat="1" ht="12.75">
      <c r="A118" s="84" t="s">
        <v>272</v>
      </c>
      <c r="B118" s="115" t="s">
        <v>37</v>
      </c>
      <c r="C118" s="115"/>
      <c r="D118" s="183">
        <f>D119</f>
        <v>252942.5</v>
      </c>
      <c r="H118" s="317"/>
    </row>
    <row r="119" spans="1:8" s="4" customFormat="1" ht="25.5">
      <c r="A119" s="79" t="s">
        <v>190</v>
      </c>
      <c r="B119" s="115" t="s">
        <v>37</v>
      </c>
      <c r="C119" s="115" t="s">
        <v>178</v>
      </c>
      <c r="D119" s="183">
        <f>D120</f>
        <v>252942.5</v>
      </c>
      <c r="H119" s="317"/>
    </row>
    <row r="120" spans="1:8" s="4" customFormat="1" ht="12.75">
      <c r="A120" s="83" t="s">
        <v>191</v>
      </c>
      <c r="B120" s="115" t="s">
        <v>37</v>
      </c>
      <c r="C120" s="115" t="s">
        <v>192</v>
      </c>
      <c r="D120" s="178">
        <f>252878.6+63.9</f>
        <v>252942.5</v>
      </c>
      <c r="H120" s="317"/>
    </row>
    <row r="121" spans="1:8" s="4" customFormat="1" ht="38.25">
      <c r="A121" s="83" t="s">
        <v>464</v>
      </c>
      <c r="B121" s="115" t="s">
        <v>416</v>
      </c>
      <c r="C121" s="115"/>
      <c r="D121" s="178">
        <f>D122</f>
        <v>17919.485</v>
      </c>
      <c r="H121" s="317"/>
    </row>
    <row r="122" spans="1:8" s="4" customFormat="1" ht="25.5">
      <c r="A122" s="83" t="s">
        <v>263</v>
      </c>
      <c r="B122" s="115" t="s">
        <v>416</v>
      </c>
      <c r="C122" s="115" t="s">
        <v>178</v>
      </c>
      <c r="D122" s="178">
        <f>D123</f>
        <v>17919.485</v>
      </c>
      <c r="H122" s="317"/>
    </row>
    <row r="123" spans="1:8" s="1" customFormat="1" ht="12.75">
      <c r="A123" s="83" t="s">
        <v>191</v>
      </c>
      <c r="B123" s="115" t="s">
        <v>416</v>
      </c>
      <c r="C123" s="115" t="s">
        <v>192</v>
      </c>
      <c r="D123" s="178">
        <v>17919.485</v>
      </c>
      <c r="H123" s="316"/>
    </row>
    <row r="124" spans="1:8" s="1" customFormat="1" ht="63.75">
      <c r="A124" s="146" t="s">
        <v>552</v>
      </c>
      <c r="B124" s="115" t="s">
        <v>414</v>
      </c>
      <c r="C124" s="115"/>
      <c r="D124" s="178">
        <f>D125</f>
        <v>49.647</v>
      </c>
      <c r="H124" s="316"/>
    </row>
    <row r="125" spans="1:8" s="1" customFormat="1" ht="25.5">
      <c r="A125" s="83" t="s">
        <v>263</v>
      </c>
      <c r="B125" s="115" t="s">
        <v>414</v>
      </c>
      <c r="C125" s="115" t="s">
        <v>178</v>
      </c>
      <c r="D125" s="178">
        <f>D126</f>
        <v>49.647</v>
      </c>
      <c r="H125" s="316"/>
    </row>
    <row r="126" spans="1:8" s="1" customFormat="1" ht="12.75">
      <c r="A126" s="83" t="s">
        <v>191</v>
      </c>
      <c r="B126" s="115" t="s">
        <v>414</v>
      </c>
      <c r="C126" s="115" t="s">
        <v>192</v>
      </c>
      <c r="D126" s="178">
        <v>49.647</v>
      </c>
      <c r="H126" s="316"/>
    </row>
    <row r="127" spans="1:8" s="4" customFormat="1" ht="38.25">
      <c r="A127" s="83" t="s">
        <v>466</v>
      </c>
      <c r="B127" s="115" t="s">
        <v>356</v>
      </c>
      <c r="C127" s="115"/>
      <c r="D127" s="178">
        <f>D128</f>
        <v>1779.904</v>
      </c>
      <c r="H127" s="317"/>
    </row>
    <row r="128" spans="1:8" s="4" customFormat="1" ht="25.5">
      <c r="A128" s="79" t="s">
        <v>190</v>
      </c>
      <c r="B128" s="115" t="s">
        <v>356</v>
      </c>
      <c r="C128" s="115" t="s">
        <v>178</v>
      </c>
      <c r="D128" s="178">
        <f>D129</f>
        <v>1779.904</v>
      </c>
      <c r="H128" s="317"/>
    </row>
    <row r="129" spans="1:8" s="4" customFormat="1" ht="18" customHeight="1">
      <c r="A129" s="83" t="s">
        <v>191</v>
      </c>
      <c r="B129" s="115" t="s">
        <v>356</v>
      </c>
      <c r="C129" s="115" t="s">
        <v>192</v>
      </c>
      <c r="D129" s="178">
        <v>1779.904</v>
      </c>
      <c r="H129" s="317"/>
    </row>
    <row r="130" spans="1:8" s="4" customFormat="1" ht="38.25">
      <c r="A130" s="83" t="s">
        <v>339</v>
      </c>
      <c r="B130" s="115" t="s">
        <v>338</v>
      </c>
      <c r="C130" s="115"/>
      <c r="D130" s="178">
        <f>D131</f>
        <v>16.4</v>
      </c>
      <c r="H130" s="317"/>
    </row>
    <row r="131" spans="1:8" s="4" customFormat="1" ht="25.5">
      <c r="A131" s="83" t="s">
        <v>263</v>
      </c>
      <c r="B131" s="115" t="s">
        <v>338</v>
      </c>
      <c r="C131" s="115" t="s">
        <v>178</v>
      </c>
      <c r="D131" s="178">
        <f>D132</f>
        <v>16.4</v>
      </c>
      <c r="H131" s="317"/>
    </row>
    <row r="132" spans="1:8" s="4" customFormat="1" ht="12.75">
      <c r="A132" s="83" t="s">
        <v>191</v>
      </c>
      <c r="B132" s="115" t="s">
        <v>338</v>
      </c>
      <c r="C132" s="115" t="s">
        <v>192</v>
      </c>
      <c r="D132" s="178">
        <v>16.4</v>
      </c>
      <c r="H132" s="317"/>
    </row>
    <row r="133" spans="1:8" s="1" customFormat="1" ht="25.5">
      <c r="A133" s="83" t="s">
        <v>313</v>
      </c>
      <c r="B133" s="115" t="s">
        <v>314</v>
      </c>
      <c r="C133" s="115"/>
      <c r="D133" s="178">
        <f>D134</f>
        <v>55</v>
      </c>
      <c r="H133" s="316"/>
    </row>
    <row r="134" spans="1:8" s="1" customFormat="1" ht="23.25" customHeight="1">
      <c r="A134" s="79" t="s">
        <v>190</v>
      </c>
      <c r="B134" s="115" t="s">
        <v>314</v>
      </c>
      <c r="C134" s="115" t="s">
        <v>178</v>
      </c>
      <c r="D134" s="178">
        <f>D135</f>
        <v>55</v>
      </c>
      <c r="H134" s="316"/>
    </row>
    <row r="135" spans="1:8" s="1" customFormat="1" ht="17.25" customHeight="1">
      <c r="A135" s="83" t="s">
        <v>191</v>
      </c>
      <c r="B135" s="115" t="s">
        <v>314</v>
      </c>
      <c r="C135" s="115" t="s">
        <v>192</v>
      </c>
      <c r="D135" s="178">
        <v>55</v>
      </c>
      <c r="H135" s="316"/>
    </row>
    <row r="136" spans="1:8" s="1" customFormat="1" ht="25.5">
      <c r="A136" s="83" t="s">
        <v>358</v>
      </c>
      <c r="B136" s="115" t="s">
        <v>357</v>
      </c>
      <c r="C136" s="115"/>
      <c r="D136" s="178">
        <f>D137</f>
        <v>27.6</v>
      </c>
      <c r="H136" s="316"/>
    </row>
    <row r="137" spans="1:10" s="4" customFormat="1" ht="25.5">
      <c r="A137" s="79" t="s">
        <v>190</v>
      </c>
      <c r="B137" s="115" t="s">
        <v>357</v>
      </c>
      <c r="C137" s="115" t="s">
        <v>178</v>
      </c>
      <c r="D137" s="178">
        <f>D138</f>
        <v>27.6</v>
      </c>
      <c r="H137" s="317"/>
      <c r="J137" s="9"/>
    </row>
    <row r="138" spans="1:10" s="4" customFormat="1" ht="12.75">
      <c r="A138" s="83" t="s">
        <v>191</v>
      </c>
      <c r="B138" s="115" t="s">
        <v>357</v>
      </c>
      <c r="C138" s="115" t="s">
        <v>192</v>
      </c>
      <c r="D138" s="178">
        <v>27.6</v>
      </c>
      <c r="H138" s="317"/>
      <c r="J138" s="9"/>
    </row>
    <row r="139" spans="1:10" s="4" customFormat="1" ht="63.75">
      <c r="A139" s="78" t="s">
        <v>470</v>
      </c>
      <c r="B139" s="115" t="s">
        <v>415</v>
      </c>
      <c r="C139" s="115"/>
      <c r="D139" s="178">
        <f>D140</f>
        <v>246.666</v>
      </c>
      <c r="H139" s="317"/>
      <c r="J139" s="9"/>
    </row>
    <row r="140" spans="1:10" s="4" customFormat="1" ht="25.5">
      <c r="A140" s="79" t="s">
        <v>190</v>
      </c>
      <c r="B140" s="115" t="s">
        <v>415</v>
      </c>
      <c r="C140" s="115" t="s">
        <v>178</v>
      </c>
      <c r="D140" s="178">
        <f>D141</f>
        <v>246.666</v>
      </c>
      <c r="H140" s="317"/>
      <c r="J140" s="9"/>
    </row>
    <row r="141" spans="1:10" s="4" customFormat="1" ht="12.75">
      <c r="A141" s="83" t="s">
        <v>191</v>
      </c>
      <c r="B141" s="115" t="s">
        <v>415</v>
      </c>
      <c r="C141" s="115" t="s">
        <v>192</v>
      </c>
      <c r="D141" s="178">
        <v>246.666</v>
      </c>
      <c r="H141" s="317"/>
      <c r="J141" s="9"/>
    </row>
    <row r="142" spans="1:10" s="4" customFormat="1" ht="38.25">
      <c r="A142" s="83" t="s">
        <v>251</v>
      </c>
      <c r="B142" s="115" t="s">
        <v>259</v>
      </c>
      <c r="C142" s="115"/>
      <c r="D142" s="178">
        <f>D143</f>
        <v>787.56</v>
      </c>
      <c r="H142" s="317"/>
      <c r="J142" s="9"/>
    </row>
    <row r="143" spans="1:10" s="4" customFormat="1" ht="25.5">
      <c r="A143" s="83" t="s">
        <v>190</v>
      </c>
      <c r="B143" s="115" t="s">
        <v>259</v>
      </c>
      <c r="C143" s="115" t="s">
        <v>178</v>
      </c>
      <c r="D143" s="178">
        <f>D144</f>
        <v>787.56</v>
      </c>
      <c r="H143" s="317"/>
      <c r="J143" s="9"/>
    </row>
    <row r="144" spans="1:8" s="1" customFormat="1" ht="12.75">
      <c r="A144" s="83" t="s">
        <v>191</v>
      </c>
      <c r="B144" s="115" t="s">
        <v>259</v>
      </c>
      <c r="C144" s="115" t="s">
        <v>192</v>
      </c>
      <c r="D144" s="178">
        <v>787.56</v>
      </c>
      <c r="H144" s="316"/>
    </row>
    <row r="145" spans="1:8" s="1" customFormat="1" ht="25.5">
      <c r="A145" s="44" t="s">
        <v>547</v>
      </c>
      <c r="B145" s="116" t="s">
        <v>33</v>
      </c>
      <c r="C145" s="116"/>
      <c r="D145" s="184">
        <f>D146+D156+D159+D162+D165+D168+D171+D174+D149+D177+D180</f>
        <v>35418.399999999994</v>
      </c>
      <c r="H145" s="316"/>
    </row>
    <row r="146" spans="1:8" s="1" customFormat="1" ht="12.75">
      <c r="A146" s="141" t="s">
        <v>106</v>
      </c>
      <c r="B146" s="117" t="s">
        <v>34</v>
      </c>
      <c r="C146" s="117"/>
      <c r="D146" s="178">
        <f>D147</f>
        <v>17938.1</v>
      </c>
      <c r="H146" s="316"/>
    </row>
    <row r="147" spans="1:8" s="1" customFormat="1" ht="25.5">
      <c r="A147" s="63" t="s">
        <v>190</v>
      </c>
      <c r="B147" s="117" t="s">
        <v>34</v>
      </c>
      <c r="C147" s="117" t="s">
        <v>178</v>
      </c>
      <c r="D147" s="178">
        <f>SUM(D148:D148)</f>
        <v>17938.1</v>
      </c>
      <c r="H147" s="316"/>
    </row>
    <row r="148" spans="1:8" s="1" customFormat="1" ht="12.75">
      <c r="A148" s="50" t="s">
        <v>195</v>
      </c>
      <c r="B148" s="117" t="s">
        <v>34</v>
      </c>
      <c r="C148" s="117" t="s">
        <v>196</v>
      </c>
      <c r="D148" s="178">
        <v>17938.1</v>
      </c>
      <c r="H148" s="316"/>
    </row>
    <row r="149" spans="1:8" s="1" customFormat="1" ht="12.75">
      <c r="A149" s="83" t="s">
        <v>380</v>
      </c>
      <c r="B149" s="117" t="s">
        <v>379</v>
      </c>
      <c r="C149" s="117"/>
      <c r="D149" s="178">
        <f>D150+D154</f>
        <v>13277.400000000001</v>
      </c>
      <c r="H149" s="316"/>
    </row>
    <row r="150" spans="1:8" s="1" customFormat="1" ht="25.5">
      <c r="A150" s="50" t="s">
        <v>190</v>
      </c>
      <c r="B150" s="117" t="s">
        <v>379</v>
      </c>
      <c r="C150" s="117" t="s">
        <v>178</v>
      </c>
      <c r="D150" s="178">
        <f>D151+D152+D153</f>
        <v>13133.7</v>
      </c>
      <c r="H150" s="316"/>
    </row>
    <row r="151" spans="1:8" s="1" customFormat="1" ht="12.75">
      <c r="A151" s="50" t="s">
        <v>191</v>
      </c>
      <c r="B151" s="117" t="s">
        <v>379</v>
      </c>
      <c r="C151" s="117" t="s">
        <v>192</v>
      </c>
      <c r="D151" s="178">
        <v>143.7</v>
      </c>
      <c r="H151" s="316"/>
    </row>
    <row r="152" spans="1:8" s="1" customFormat="1" ht="12.75">
      <c r="A152" s="50" t="s">
        <v>197</v>
      </c>
      <c r="B152" s="117" t="s">
        <v>379</v>
      </c>
      <c r="C152" s="117" t="s">
        <v>196</v>
      </c>
      <c r="D152" s="178">
        <v>12846.4</v>
      </c>
      <c r="H152" s="316"/>
    </row>
    <row r="153" spans="1:4" ht="26.25">
      <c r="A153" s="50" t="s">
        <v>605</v>
      </c>
      <c r="B153" s="117" t="s">
        <v>379</v>
      </c>
      <c r="C153" s="117" t="s">
        <v>203</v>
      </c>
      <c r="D153" s="178">
        <v>143.6</v>
      </c>
    </row>
    <row r="154" spans="1:4" ht="15.75">
      <c r="A154" s="50" t="s">
        <v>90</v>
      </c>
      <c r="B154" s="117" t="s">
        <v>379</v>
      </c>
      <c r="C154" s="117" t="s">
        <v>87</v>
      </c>
      <c r="D154" s="178">
        <f>D155</f>
        <v>143.7</v>
      </c>
    </row>
    <row r="155" spans="1:4" ht="26.25">
      <c r="A155" s="50" t="s">
        <v>228</v>
      </c>
      <c r="B155" s="117" t="s">
        <v>379</v>
      </c>
      <c r="C155" s="117" t="s">
        <v>88</v>
      </c>
      <c r="D155" s="178">
        <v>143.7</v>
      </c>
    </row>
    <row r="156" spans="1:8" s="1" customFormat="1" ht="25.5">
      <c r="A156" s="304" t="s">
        <v>632</v>
      </c>
      <c r="B156" s="117" t="s">
        <v>606</v>
      </c>
      <c r="C156" s="117"/>
      <c r="D156" s="178">
        <f>D157</f>
        <v>354.8</v>
      </c>
      <c r="H156" s="316"/>
    </row>
    <row r="157" spans="1:8" s="1" customFormat="1" ht="25.5">
      <c r="A157" s="63" t="s">
        <v>190</v>
      </c>
      <c r="B157" s="117" t="s">
        <v>606</v>
      </c>
      <c r="C157" s="117" t="s">
        <v>178</v>
      </c>
      <c r="D157" s="178">
        <f>D158</f>
        <v>354.8</v>
      </c>
      <c r="H157" s="316"/>
    </row>
    <row r="158" spans="1:8" s="4" customFormat="1" ht="12.75">
      <c r="A158" s="50" t="s">
        <v>195</v>
      </c>
      <c r="B158" s="117" t="s">
        <v>606</v>
      </c>
      <c r="C158" s="117" t="s">
        <v>196</v>
      </c>
      <c r="D158" s="178">
        <v>354.8</v>
      </c>
      <c r="H158" s="317"/>
    </row>
    <row r="159" spans="1:8" s="4" customFormat="1" ht="12.75">
      <c r="A159" s="71" t="s">
        <v>216</v>
      </c>
      <c r="B159" s="117" t="s">
        <v>218</v>
      </c>
      <c r="C159" s="117"/>
      <c r="D159" s="178">
        <f>D160</f>
        <v>125</v>
      </c>
      <c r="H159" s="317"/>
    </row>
    <row r="160" spans="1:8" s="4" customFormat="1" ht="25.5">
      <c r="A160" s="63" t="s">
        <v>190</v>
      </c>
      <c r="B160" s="117" t="s">
        <v>218</v>
      </c>
      <c r="C160" s="117" t="s">
        <v>178</v>
      </c>
      <c r="D160" s="178">
        <f>D161</f>
        <v>125</v>
      </c>
      <c r="H160" s="317"/>
    </row>
    <row r="161" spans="1:8" s="4" customFormat="1" ht="12.75">
      <c r="A161" s="50" t="s">
        <v>195</v>
      </c>
      <c r="B161" s="117" t="s">
        <v>218</v>
      </c>
      <c r="C161" s="117" t="s">
        <v>196</v>
      </c>
      <c r="D161" s="178">
        <v>125</v>
      </c>
      <c r="H161" s="317"/>
    </row>
    <row r="162" spans="1:8" s="4" customFormat="1" ht="12.75">
      <c r="A162" s="50" t="s">
        <v>105</v>
      </c>
      <c r="B162" s="117" t="s">
        <v>319</v>
      </c>
      <c r="C162" s="117"/>
      <c r="D162" s="178">
        <f>D163</f>
        <v>20</v>
      </c>
      <c r="H162" s="317"/>
    </row>
    <row r="163" spans="1:8" s="4" customFormat="1" ht="25.5">
      <c r="A163" s="63" t="s">
        <v>190</v>
      </c>
      <c r="B163" s="117" t="s">
        <v>319</v>
      </c>
      <c r="C163" s="117" t="s">
        <v>178</v>
      </c>
      <c r="D163" s="178">
        <f>D164</f>
        <v>20</v>
      </c>
      <c r="H163" s="317"/>
    </row>
    <row r="164" spans="1:8" s="4" customFormat="1" ht="12.75">
      <c r="A164" s="50" t="s">
        <v>195</v>
      </c>
      <c r="B164" s="117" t="s">
        <v>319</v>
      </c>
      <c r="C164" s="117" t="s">
        <v>196</v>
      </c>
      <c r="D164" s="178">
        <v>20</v>
      </c>
      <c r="H164" s="317"/>
    </row>
    <row r="165" spans="1:8" s="4" customFormat="1" ht="12.75">
      <c r="A165" s="84" t="s">
        <v>701</v>
      </c>
      <c r="B165" s="117" t="s">
        <v>700</v>
      </c>
      <c r="C165" s="117"/>
      <c r="D165" s="178">
        <f>D166</f>
        <v>3000</v>
      </c>
      <c r="H165" s="317"/>
    </row>
    <row r="166" spans="1:8" s="4" customFormat="1" ht="25.5">
      <c r="A166" s="63" t="s">
        <v>190</v>
      </c>
      <c r="B166" s="117" t="s">
        <v>700</v>
      </c>
      <c r="C166" s="117" t="s">
        <v>178</v>
      </c>
      <c r="D166" s="178">
        <f>D167</f>
        <v>3000</v>
      </c>
      <c r="H166" s="317"/>
    </row>
    <row r="167" spans="1:8" s="4" customFormat="1" ht="12.75">
      <c r="A167" s="87" t="s">
        <v>197</v>
      </c>
      <c r="B167" s="117" t="s">
        <v>700</v>
      </c>
      <c r="C167" s="117" t="s">
        <v>196</v>
      </c>
      <c r="D167" s="178">
        <v>3000</v>
      </c>
      <c r="H167" s="317"/>
    </row>
    <row r="168" spans="1:8" s="4" customFormat="1" ht="25.5">
      <c r="A168" s="84" t="s">
        <v>267</v>
      </c>
      <c r="B168" s="117" t="s">
        <v>359</v>
      </c>
      <c r="C168" s="117"/>
      <c r="D168" s="178">
        <f>D169</f>
        <v>36</v>
      </c>
      <c r="H168" s="317"/>
    </row>
    <row r="169" spans="1:8" s="4" customFormat="1" ht="25.5">
      <c r="A169" s="63" t="s">
        <v>190</v>
      </c>
      <c r="B169" s="117" t="s">
        <v>359</v>
      </c>
      <c r="C169" s="117" t="s">
        <v>178</v>
      </c>
      <c r="D169" s="178">
        <f>D170</f>
        <v>36</v>
      </c>
      <c r="H169" s="317"/>
    </row>
    <row r="170" spans="1:8" s="4" customFormat="1" ht="12.75">
      <c r="A170" s="50" t="s">
        <v>197</v>
      </c>
      <c r="B170" s="117" t="s">
        <v>359</v>
      </c>
      <c r="C170" s="117" t="s">
        <v>196</v>
      </c>
      <c r="D170" s="178">
        <v>36</v>
      </c>
      <c r="H170" s="317"/>
    </row>
    <row r="171" spans="1:8" s="1" customFormat="1" ht="12.75">
      <c r="A171" s="71" t="s">
        <v>268</v>
      </c>
      <c r="B171" s="117" t="s">
        <v>35</v>
      </c>
      <c r="C171" s="117"/>
      <c r="D171" s="178">
        <f>D172</f>
        <v>135.6</v>
      </c>
      <c r="H171" s="316"/>
    </row>
    <row r="172" spans="1:8" s="1" customFormat="1" ht="25.5">
      <c r="A172" s="63" t="s">
        <v>190</v>
      </c>
      <c r="B172" s="117" t="s">
        <v>35</v>
      </c>
      <c r="C172" s="117" t="s">
        <v>178</v>
      </c>
      <c r="D172" s="178">
        <f>SUM(D173:D173)</f>
        <v>135.6</v>
      </c>
      <c r="H172" s="316"/>
    </row>
    <row r="173" spans="1:8" s="1" customFormat="1" ht="12.75">
      <c r="A173" s="50" t="s">
        <v>195</v>
      </c>
      <c r="B173" s="117" t="s">
        <v>35</v>
      </c>
      <c r="C173" s="117" t="s">
        <v>196</v>
      </c>
      <c r="D173" s="178">
        <v>135.6</v>
      </c>
      <c r="H173" s="316"/>
    </row>
    <row r="174" spans="1:8" s="1" customFormat="1" ht="12.75">
      <c r="A174" s="71" t="s">
        <v>269</v>
      </c>
      <c r="B174" s="117" t="s">
        <v>36</v>
      </c>
      <c r="C174" s="117"/>
      <c r="D174" s="178">
        <f>D175</f>
        <v>150</v>
      </c>
      <c r="H174" s="316"/>
    </row>
    <row r="175" spans="1:8" s="1" customFormat="1" ht="25.5">
      <c r="A175" s="63" t="s">
        <v>190</v>
      </c>
      <c r="B175" s="117" t="s">
        <v>36</v>
      </c>
      <c r="C175" s="117" t="s">
        <v>178</v>
      </c>
      <c r="D175" s="178">
        <f>SUM(D176:D176)</f>
        <v>150</v>
      </c>
      <c r="H175" s="316"/>
    </row>
    <row r="176" spans="1:8" s="1" customFormat="1" ht="12.75">
      <c r="A176" s="50" t="s">
        <v>195</v>
      </c>
      <c r="B176" s="117" t="s">
        <v>36</v>
      </c>
      <c r="C176" s="117" t="s">
        <v>196</v>
      </c>
      <c r="D176" s="178">
        <v>150</v>
      </c>
      <c r="H176" s="316"/>
    </row>
    <row r="177" spans="1:8" s="4" customFormat="1" ht="63.75">
      <c r="A177" s="146" t="s">
        <v>552</v>
      </c>
      <c r="B177" s="115" t="s">
        <v>418</v>
      </c>
      <c r="C177" s="115"/>
      <c r="D177" s="178">
        <f>D178</f>
        <v>50</v>
      </c>
      <c r="H177" s="317"/>
    </row>
    <row r="178" spans="1:8" s="4" customFormat="1" ht="25.5">
      <c r="A178" s="83" t="s">
        <v>263</v>
      </c>
      <c r="B178" s="115" t="s">
        <v>418</v>
      </c>
      <c r="C178" s="115" t="s">
        <v>178</v>
      </c>
      <c r="D178" s="178">
        <f>D179</f>
        <v>50</v>
      </c>
      <c r="H178" s="317"/>
    </row>
    <row r="179" spans="1:8" s="4" customFormat="1" ht="12.75">
      <c r="A179" s="83" t="s">
        <v>191</v>
      </c>
      <c r="B179" s="115" t="s">
        <v>418</v>
      </c>
      <c r="C179" s="115" t="s">
        <v>196</v>
      </c>
      <c r="D179" s="178">
        <v>50</v>
      </c>
      <c r="H179" s="317"/>
    </row>
    <row r="180" spans="1:8" s="4" customFormat="1" ht="38.25">
      <c r="A180" s="83" t="s">
        <v>595</v>
      </c>
      <c r="B180" s="115" t="s">
        <v>607</v>
      </c>
      <c r="C180" s="115"/>
      <c r="D180" s="178">
        <f>D181</f>
        <v>331.5</v>
      </c>
      <c r="H180" s="317"/>
    </row>
    <row r="181" spans="1:8" s="4" customFormat="1" ht="25.5">
      <c r="A181" s="83" t="s">
        <v>263</v>
      </c>
      <c r="B181" s="115" t="s">
        <v>607</v>
      </c>
      <c r="C181" s="115" t="s">
        <v>178</v>
      </c>
      <c r="D181" s="178">
        <f>D182</f>
        <v>331.5</v>
      </c>
      <c r="H181" s="317"/>
    </row>
    <row r="182" spans="1:8" s="1" customFormat="1" ht="12.75">
      <c r="A182" s="50" t="s">
        <v>195</v>
      </c>
      <c r="B182" s="115" t="s">
        <v>607</v>
      </c>
      <c r="C182" s="115" t="s">
        <v>196</v>
      </c>
      <c r="D182" s="178">
        <v>331.5</v>
      </c>
      <c r="E182" s="2"/>
      <c r="H182" s="316"/>
    </row>
    <row r="183" spans="1:8" s="1" customFormat="1" ht="25.5">
      <c r="A183" s="44" t="s">
        <v>548</v>
      </c>
      <c r="B183" s="116" t="s">
        <v>377</v>
      </c>
      <c r="C183" s="117"/>
      <c r="D183" s="182">
        <f>D184+D189</f>
        <v>16292.4</v>
      </c>
      <c r="H183" s="316"/>
    </row>
    <row r="184" spans="1:4" ht="16.5" customHeight="1">
      <c r="A184" s="50" t="s">
        <v>115</v>
      </c>
      <c r="B184" s="117" t="s">
        <v>376</v>
      </c>
      <c r="C184" s="117"/>
      <c r="D184" s="186">
        <f>D185+D187</f>
        <v>15892.4</v>
      </c>
    </row>
    <row r="185" spans="1:4" ht="38.25">
      <c r="A185" s="60" t="s">
        <v>116</v>
      </c>
      <c r="B185" s="117" t="s">
        <v>376</v>
      </c>
      <c r="C185" s="117" t="s">
        <v>198</v>
      </c>
      <c r="D185" s="186">
        <f>D186</f>
        <v>15340.699999999999</v>
      </c>
    </row>
    <row r="186" spans="1:4" ht="15.75">
      <c r="A186" s="63" t="s">
        <v>193</v>
      </c>
      <c r="B186" s="117" t="s">
        <v>376</v>
      </c>
      <c r="C186" s="117" t="s">
        <v>194</v>
      </c>
      <c r="D186" s="186">
        <f>14461.3+879.4</f>
        <v>15340.699999999999</v>
      </c>
    </row>
    <row r="187" spans="1:8" s="1" customFormat="1" ht="12.75">
      <c r="A187" s="60" t="s">
        <v>226</v>
      </c>
      <c r="B187" s="117" t="s">
        <v>376</v>
      </c>
      <c r="C187" s="117" t="s">
        <v>188</v>
      </c>
      <c r="D187" s="186">
        <f>D188</f>
        <v>551.7</v>
      </c>
      <c r="H187" s="316"/>
    </row>
    <row r="188" spans="1:8" s="1" customFormat="1" ht="12.75">
      <c r="A188" s="60" t="s">
        <v>189</v>
      </c>
      <c r="B188" s="117" t="s">
        <v>376</v>
      </c>
      <c r="C188" s="117" t="s">
        <v>187</v>
      </c>
      <c r="D188" s="186">
        <v>551.7</v>
      </c>
      <c r="H188" s="316"/>
    </row>
    <row r="189" spans="1:8" s="1" customFormat="1" ht="12.75">
      <c r="A189" s="147" t="s">
        <v>105</v>
      </c>
      <c r="B189" s="117" t="s">
        <v>378</v>
      </c>
      <c r="C189" s="117"/>
      <c r="D189" s="183">
        <f>D190+D192</f>
        <v>400</v>
      </c>
      <c r="H189" s="316"/>
    </row>
    <row r="190" spans="1:8" s="1" customFormat="1" ht="16.5" customHeight="1">
      <c r="A190" s="60" t="s">
        <v>116</v>
      </c>
      <c r="B190" s="117" t="s">
        <v>378</v>
      </c>
      <c r="C190" s="117" t="s">
        <v>198</v>
      </c>
      <c r="D190" s="183">
        <f>D191</f>
        <v>300</v>
      </c>
      <c r="H190" s="316"/>
    </row>
    <row r="191" spans="1:8" s="1" customFormat="1" ht="12.75">
      <c r="A191" s="63" t="s">
        <v>193</v>
      </c>
      <c r="B191" s="117" t="s">
        <v>378</v>
      </c>
      <c r="C191" s="117" t="s">
        <v>194</v>
      </c>
      <c r="D191" s="183">
        <v>300</v>
      </c>
      <c r="H191" s="316"/>
    </row>
    <row r="192" spans="1:8" s="1" customFormat="1" ht="12.75">
      <c r="A192" s="60" t="s">
        <v>226</v>
      </c>
      <c r="B192" s="117" t="s">
        <v>378</v>
      </c>
      <c r="C192" s="117" t="s">
        <v>188</v>
      </c>
      <c r="D192" s="183">
        <f>D193</f>
        <v>100</v>
      </c>
      <c r="H192" s="316"/>
    </row>
    <row r="193" spans="1:8" s="1" customFormat="1" ht="12.75">
      <c r="A193" s="60" t="s">
        <v>189</v>
      </c>
      <c r="B193" s="117" t="s">
        <v>378</v>
      </c>
      <c r="C193" s="117" t="s">
        <v>187</v>
      </c>
      <c r="D193" s="183">
        <v>100</v>
      </c>
      <c r="H193" s="316"/>
    </row>
    <row r="194" spans="1:8" s="1" customFormat="1" ht="25.5">
      <c r="A194" s="126" t="s">
        <v>447</v>
      </c>
      <c r="B194" s="127" t="s">
        <v>82</v>
      </c>
      <c r="C194" s="127"/>
      <c r="D194" s="177">
        <f>D195+D201+D210</f>
        <v>4061.911</v>
      </c>
      <c r="H194" s="316"/>
    </row>
    <row r="195" spans="1:8" s="1" customFormat="1" ht="16.5" customHeight="1">
      <c r="A195" s="352" t="s">
        <v>341</v>
      </c>
      <c r="B195" s="116" t="s">
        <v>48</v>
      </c>
      <c r="C195" s="117"/>
      <c r="D195" s="184">
        <f>D196</f>
        <v>245</v>
      </c>
      <c r="H195" s="316"/>
    </row>
    <row r="196" spans="1:8" s="1" customFormat="1" ht="25.5">
      <c r="A196" s="46" t="s">
        <v>94</v>
      </c>
      <c r="B196" s="117" t="s">
        <v>49</v>
      </c>
      <c r="C196" s="172"/>
      <c r="D196" s="187">
        <f>D197+D199</f>
        <v>245</v>
      </c>
      <c r="H196" s="316"/>
    </row>
    <row r="197" spans="1:8" s="1" customFormat="1" ht="12.75">
      <c r="A197" s="60" t="s">
        <v>226</v>
      </c>
      <c r="B197" s="117" t="s">
        <v>49</v>
      </c>
      <c r="C197" s="173">
        <v>200</v>
      </c>
      <c r="D197" s="183">
        <f>D198</f>
        <v>205</v>
      </c>
      <c r="H197" s="316"/>
    </row>
    <row r="198" spans="1:8" s="1" customFormat="1" ht="12.75">
      <c r="A198" s="60" t="s">
        <v>189</v>
      </c>
      <c r="B198" s="117" t="s">
        <v>49</v>
      </c>
      <c r="C198" s="173">
        <v>240</v>
      </c>
      <c r="D198" s="183">
        <f>5+200</f>
        <v>205</v>
      </c>
      <c r="H198" s="316"/>
    </row>
    <row r="199" spans="1:8" s="1" customFormat="1" ht="25.5">
      <c r="A199" s="60" t="s">
        <v>263</v>
      </c>
      <c r="B199" s="117" t="s">
        <v>49</v>
      </c>
      <c r="C199" s="173">
        <v>600</v>
      </c>
      <c r="D199" s="183">
        <f>D200</f>
        <v>40</v>
      </c>
      <c r="H199" s="316"/>
    </row>
    <row r="200" spans="1:8" s="1" customFormat="1" ht="12.75">
      <c r="A200" s="60" t="s">
        <v>191</v>
      </c>
      <c r="B200" s="117" t="s">
        <v>49</v>
      </c>
      <c r="C200" s="173">
        <v>610</v>
      </c>
      <c r="D200" s="183">
        <v>40</v>
      </c>
      <c r="H200" s="316"/>
    </row>
    <row r="201" spans="1:8" s="1" customFormat="1" ht="12.75">
      <c r="A201" s="53" t="s">
        <v>212</v>
      </c>
      <c r="B201" s="116" t="s">
        <v>50</v>
      </c>
      <c r="C201" s="116"/>
      <c r="D201" s="184">
        <f>D202+D207</f>
        <v>367</v>
      </c>
      <c r="H201" s="316"/>
    </row>
    <row r="202" spans="1:8" s="1" customFormat="1" ht="25.5">
      <c r="A202" s="46" t="s">
        <v>94</v>
      </c>
      <c r="B202" s="117" t="s">
        <v>51</v>
      </c>
      <c r="C202" s="117"/>
      <c r="D202" s="178">
        <f>D203+D205</f>
        <v>325</v>
      </c>
      <c r="H202" s="316"/>
    </row>
    <row r="203" spans="1:8" s="1" customFormat="1" ht="12.75">
      <c r="A203" s="60" t="s">
        <v>226</v>
      </c>
      <c r="B203" s="117" t="s">
        <v>51</v>
      </c>
      <c r="C203" s="117" t="s">
        <v>188</v>
      </c>
      <c r="D203" s="178">
        <f>D204</f>
        <v>52</v>
      </c>
      <c r="H203" s="316"/>
    </row>
    <row r="204" spans="1:8" s="1" customFormat="1" ht="12.75">
      <c r="A204" s="60" t="s">
        <v>189</v>
      </c>
      <c r="B204" s="117" t="s">
        <v>51</v>
      </c>
      <c r="C204" s="117" t="s">
        <v>187</v>
      </c>
      <c r="D204" s="178">
        <v>52</v>
      </c>
      <c r="H204" s="316"/>
    </row>
    <row r="205" spans="1:8" s="1" customFormat="1" ht="25.5">
      <c r="A205" s="60" t="s">
        <v>263</v>
      </c>
      <c r="B205" s="117" t="s">
        <v>51</v>
      </c>
      <c r="C205" s="117" t="s">
        <v>178</v>
      </c>
      <c r="D205" s="178">
        <f>D206</f>
        <v>273</v>
      </c>
      <c r="H205" s="316"/>
    </row>
    <row r="206" spans="1:8" s="1" customFormat="1" ht="12.75">
      <c r="A206" s="60" t="s">
        <v>191</v>
      </c>
      <c r="B206" s="117" t="s">
        <v>51</v>
      </c>
      <c r="C206" s="117" t="s">
        <v>192</v>
      </c>
      <c r="D206" s="178">
        <v>273</v>
      </c>
      <c r="H206" s="316"/>
    </row>
    <row r="207" spans="1:8" s="1" customFormat="1" ht="12.75">
      <c r="A207" s="46" t="s">
        <v>463</v>
      </c>
      <c r="B207" s="117" t="s">
        <v>534</v>
      </c>
      <c r="C207" s="117"/>
      <c r="D207" s="178">
        <f>D208</f>
        <v>42</v>
      </c>
      <c r="H207" s="316"/>
    </row>
    <row r="208" spans="1:8" s="1" customFormat="1" ht="12.75">
      <c r="A208" s="60" t="s">
        <v>89</v>
      </c>
      <c r="B208" s="117" t="s">
        <v>534</v>
      </c>
      <c r="C208" s="117" t="s">
        <v>85</v>
      </c>
      <c r="D208" s="178">
        <f>D209</f>
        <v>42</v>
      </c>
      <c r="H208" s="316"/>
    </row>
    <row r="209" spans="1:8" s="1" customFormat="1" ht="12.75">
      <c r="A209" s="60" t="s">
        <v>84</v>
      </c>
      <c r="B209" s="117" t="s">
        <v>534</v>
      </c>
      <c r="C209" s="117" t="s">
        <v>86</v>
      </c>
      <c r="D209" s="178">
        <v>42</v>
      </c>
      <c r="H209" s="316"/>
    </row>
    <row r="210" spans="1:8" s="1" customFormat="1" ht="12.75">
      <c r="A210" s="53" t="s">
        <v>448</v>
      </c>
      <c r="B210" s="116" t="s">
        <v>449</v>
      </c>
      <c r="C210" s="116"/>
      <c r="D210" s="184">
        <f>D211</f>
        <v>3449.911</v>
      </c>
      <c r="H210" s="316"/>
    </row>
    <row r="211" spans="1:8" s="1" customFormat="1" ht="12.75">
      <c r="A211" s="46" t="s">
        <v>451</v>
      </c>
      <c r="B211" s="117" t="s">
        <v>450</v>
      </c>
      <c r="C211" s="117"/>
      <c r="D211" s="178">
        <f>D212</f>
        <v>3449.911</v>
      </c>
      <c r="H211" s="316"/>
    </row>
    <row r="212" spans="1:8" s="1" customFormat="1" ht="12.75">
      <c r="A212" s="60" t="s">
        <v>89</v>
      </c>
      <c r="B212" s="117" t="s">
        <v>450</v>
      </c>
      <c r="C212" s="117" t="s">
        <v>85</v>
      </c>
      <c r="D212" s="178">
        <f>D213</f>
        <v>3449.911</v>
      </c>
      <c r="H212" s="316"/>
    </row>
    <row r="213" spans="1:8" s="1" customFormat="1" ht="12.75">
      <c r="A213" s="60" t="s">
        <v>84</v>
      </c>
      <c r="B213" s="117" t="s">
        <v>450</v>
      </c>
      <c r="C213" s="117" t="s">
        <v>86</v>
      </c>
      <c r="D213" s="178">
        <v>3449.911</v>
      </c>
      <c r="H213" s="316"/>
    </row>
    <row r="214" spans="1:8" s="1" customFormat="1" ht="15" customHeight="1">
      <c r="A214" s="128" t="s">
        <v>443</v>
      </c>
      <c r="B214" s="127" t="s">
        <v>0</v>
      </c>
      <c r="C214" s="127"/>
      <c r="D214" s="188">
        <f>D215</f>
        <v>2115</v>
      </c>
      <c r="H214" s="316"/>
    </row>
    <row r="215" spans="1:8" s="1" customFormat="1" ht="25.5">
      <c r="A215" s="352" t="s">
        <v>591</v>
      </c>
      <c r="B215" s="116" t="s">
        <v>1</v>
      </c>
      <c r="C215" s="117"/>
      <c r="D215" s="189">
        <f>D218</f>
        <v>2115</v>
      </c>
      <c r="H215" s="316"/>
    </row>
    <row r="216" spans="1:8" s="1" customFormat="1" ht="12.75">
      <c r="A216" s="46" t="s">
        <v>444</v>
      </c>
      <c r="B216" s="117" t="s">
        <v>2</v>
      </c>
      <c r="C216" s="353"/>
      <c r="D216" s="190">
        <f>D217</f>
        <v>2115</v>
      </c>
      <c r="H216" s="316"/>
    </row>
    <row r="217" spans="1:8" s="1" customFormat="1" ht="12.75">
      <c r="A217" s="60" t="s">
        <v>226</v>
      </c>
      <c r="B217" s="117" t="s">
        <v>2</v>
      </c>
      <c r="C217" s="353" t="s">
        <v>188</v>
      </c>
      <c r="D217" s="191">
        <f>D218</f>
        <v>2115</v>
      </c>
      <c r="H217" s="316"/>
    </row>
    <row r="218" spans="1:8" s="1" customFormat="1" ht="12.75">
      <c r="A218" s="60" t="s">
        <v>189</v>
      </c>
      <c r="B218" s="117" t="s">
        <v>2</v>
      </c>
      <c r="C218" s="353" t="s">
        <v>187</v>
      </c>
      <c r="D218" s="191">
        <v>2115</v>
      </c>
      <c r="H218" s="316"/>
    </row>
    <row r="219" spans="1:8" s="1" customFormat="1" ht="12.75">
      <c r="A219" s="354" t="s">
        <v>535</v>
      </c>
      <c r="B219" s="127" t="s">
        <v>3</v>
      </c>
      <c r="C219" s="355"/>
      <c r="D219" s="177">
        <f>D223+D226+D229+D220</f>
        <v>3220</v>
      </c>
      <c r="H219" s="316"/>
    </row>
    <row r="220" spans="1:8" s="1" customFormat="1" ht="12.75">
      <c r="A220" s="50" t="s">
        <v>243</v>
      </c>
      <c r="B220" s="117" t="s">
        <v>351</v>
      </c>
      <c r="C220" s="117"/>
      <c r="D220" s="178">
        <f>D221</f>
        <v>5</v>
      </c>
      <c r="H220" s="316"/>
    </row>
    <row r="221" spans="1:8" s="1" customFormat="1" ht="12.75">
      <c r="A221" s="60" t="s">
        <v>226</v>
      </c>
      <c r="B221" s="117" t="s">
        <v>351</v>
      </c>
      <c r="C221" s="117" t="s">
        <v>188</v>
      </c>
      <c r="D221" s="178">
        <f>D222</f>
        <v>5</v>
      </c>
      <c r="H221" s="316"/>
    </row>
    <row r="222" spans="1:8" s="1" customFormat="1" ht="12.75">
      <c r="A222" s="60" t="s">
        <v>189</v>
      </c>
      <c r="B222" s="117" t="s">
        <v>351</v>
      </c>
      <c r="C222" s="117" t="s">
        <v>187</v>
      </c>
      <c r="D222" s="178">
        <v>5</v>
      </c>
      <c r="H222" s="316"/>
    </row>
    <row r="223" spans="1:8" s="1" customFormat="1" ht="12.75">
      <c r="A223" s="46" t="s">
        <v>101</v>
      </c>
      <c r="B223" s="117" t="s">
        <v>4</v>
      </c>
      <c r="C223" s="356"/>
      <c r="D223" s="178">
        <f>D224</f>
        <v>3000</v>
      </c>
      <c r="H223" s="316"/>
    </row>
    <row r="224" spans="1:8" s="1" customFormat="1" ht="28.5" customHeight="1">
      <c r="A224" s="46" t="s">
        <v>90</v>
      </c>
      <c r="B224" s="117" t="s">
        <v>4</v>
      </c>
      <c r="C224" s="356" t="s">
        <v>87</v>
      </c>
      <c r="D224" s="178">
        <f>D225</f>
        <v>3000</v>
      </c>
      <c r="H224" s="316"/>
    </row>
    <row r="225" spans="1:8" s="1" customFormat="1" ht="25.5">
      <c r="A225" s="46" t="s">
        <v>228</v>
      </c>
      <c r="B225" s="117" t="s">
        <v>4</v>
      </c>
      <c r="C225" s="117" t="s">
        <v>88</v>
      </c>
      <c r="D225" s="178">
        <f>1000+2000</f>
        <v>3000</v>
      </c>
      <c r="H225" s="316"/>
    </row>
    <row r="226" spans="1:8" s="1" customFormat="1" ht="25.5">
      <c r="A226" s="50" t="s">
        <v>96</v>
      </c>
      <c r="B226" s="117" t="s">
        <v>5</v>
      </c>
      <c r="C226" s="117"/>
      <c r="D226" s="178">
        <f>D227</f>
        <v>115</v>
      </c>
      <c r="H226" s="316"/>
    </row>
    <row r="227" spans="1:8" s="1" customFormat="1" ht="12.75">
      <c r="A227" s="60" t="s">
        <v>226</v>
      </c>
      <c r="B227" s="117" t="s">
        <v>5</v>
      </c>
      <c r="C227" s="117" t="s">
        <v>188</v>
      </c>
      <c r="D227" s="178">
        <f>D228</f>
        <v>115</v>
      </c>
      <c r="H227" s="316"/>
    </row>
    <row r="228" spans="1:8" s="1" customFormat="1" ht="20.25" customHeight="1">
      <c r="A228" s="60" t="s">
        <v>189</v>
      </c>
      <c r="B228" s="117" t="s">
        <v>5</v>
      </c>
      <c r="C228" s="117" t="s">
        <v>187</v>
      </c>
      <c r="D228" s="178">
        <v>115</v>
      </c>
      <c r="H228" s="316"/>
    </row>
    <row r="229" spans="1:8" s="4" customFormat="1" ht="25.5">
      <c r="A229" s="50" t="s">
        <v>349</v>
      </c>
      <c r="B229" s="117" t="s">
        <v>350</v>
      </c>
      <c r="C229" s="117"/>
      <c r="D229" s="178">
        <f>D230</f>
        <v>100</v>
      </c>
      <c r="H229" s="317"/>
    </row>
    <row r="230" spans="1:8" s="4" customFormat="1" ht="12.75">
      <c r="A230" s="60" t="s">
        <v>226</v>
      </c>
      <c r="B230" s="117" t="s">
        <v>350</v>
      </c>
      <c r="C230" s="117" t="s">
        <v>188</v>
      </c>
      <c r="D230" s="178">
        <f>D231</f>
        <v>100</v>
      </c>
      <c r="H230" s="317"/>
    </row>
    <row r="231" spans="1:8" s="4" customFormat="1" ht="12.75">
      <c r="A231" s="60" t="s">
        <v>189</v>
      </c>
      <c r="B231" s="117" t="s">
        <v>350</v>
      </c>
      <c r="C231" s="117" t="s">
        <v>187</v>
      </c>
      <c r="D231" s="178">
        <v>100</v>
      </c>
      <c r="H231" s="317"/>
    </row>
    <row r="232" spans="1:8" s="4" customFormat="1" ht="12.75">
      <c r="A232" s="129" t="s">
        <v>445</v>
      </c>
      <c r="B232" s="127" t="s">
        <v>6</v>
      </c>
      <c r="C232" s="127"/>
      <c r="D232" s="177">
        <f>D239+D245+D233+D242+D236</f>
        <v>18442.6</v>
      </c>
      <c r="H232" s="317"/>
    </row>
    <row r="233" spans="1:8" s="4" customFormat="1" ht="12.75">
      <c r="A233" s="46" t="s">
        <v>232</v>
      </c>
      <c r="B233" s="117" t="s">
        <v>689</v>
      </c>
      <c r="C233" s="117"/>
      <c r="D233" s="178">
        <f>D234</f>
        <v>5557.1</v>
      </c>
      <c r="H233" s="317"/>
    </row>
    <row r="234" spans="1:8" s="4" customFormat="1" ht="12.75">
      <c r="A234" s="60" t="s">
        <v>226</v>
      </c>
      <c r="B234" s="117" t="s">
        <v>689</v>
      </c>
      <c r="C234" s="117" t="s">
        <v>188</v>
      </c>
      <c r="D234" s="178">
        <f>SUM(D235)</f>
        <v>5557.1</v>
      </c>
      <c r="H234" s="317"/>
    </row>
    <row r="235" spans="1:8" s="4" customFormat="1" ht="12.75">
      <c r="A235" s="60" t="s">
        <v>189</v>
      </c>
      <c r="B235" s="117" t="s">
        <v>689</v>
      </c>
      <c r="C235" s="117" t="s">
        <v>187</v>
      </c>
      <c r="D235" s="178">
        <f>2818.1+2739</f>
        <v>5557.1</v>
      </c>
      <c r="H235" s="317"/>
    </row>
    <row r="236" spans="1:8" s="4" customFormat="1" ht="25.5">
      <c r="A236" s="46" t="s">
        <v>697</v>
      </c>
      <c r="B236" s="117" t="s">
        <v>696</v>
      </c>
      <c r="C236" s="117"/>
      <c r="D236" s="178">
        <f>D237</f>
        <v>54</v>
      </c>
      <c r="H236" s="317"/>
    </row>
    <row r="237" spans="1:8" s="4" customFormat="1" ht="12.75">
      <c r="A237" s="63" t="s">
        <v>227</v>
      </c>
      <c r="B237" s="117" t="s">
        <v>696</v>
      </c>
      <c r="C237" s="117" t="s">
        <v>199</v>
      </c>
      <c r="D237" s="178">
        <f>SUM(D238)</f>
        <v>54</v>
      </c>
      <c r="H237" s="317"/>
    </row>
    <row r="238" spans="1:8" s="4" customFormat="1" ht="12.75">
      <c r="A238" s="64" t="s">
        <v>179</v>
      </c>
      <c r="B238" s="117" t="s">
        <v>696</v>
      </c>
      <c r="C238" s="117" t="s">
        <v>200</v>
      </c>
      <c r="D238" s="178">
        <v>54</v>
      </c>
      <c r="H238" s="317"/>
    </row>
    <row r="239" spans="1:8" s="1" customFormat="1" ht="25.5">
      <c r="A239" s="46" t="s">
        <v>499</v>
      </c>
      <c r="B239" s="117" t="s">
        <v>498</v>
      </c>
      <c r="C239" s="117"/>
      <c r="D239" s="178">
        <f>D240</f>
        <v>4600</v>
      </c>
      <c r="E239" s="2">
        <f>D239-D242</f>
        <v>390.5</v>
      </c>
      <c r="H239" s="316"/>
    </row>
    <row r="240" spans="1:8" s="1" customFormat="1" ht="12.75">
      <c r="A240" s="63" t="s">
        <v>227</v>
      </c>
      <c r="B240" s="117" t="s">
        <v>498</v>
      </c>
      <c r="C240" s="117" t="s">
        <v>199</v>
      </c>
      <c r="D240" s="178">
        <f>SUM(D241)</f>
        <v>4600</v>
      </c>
      <c r="H240" s="316"/>
    </row>
    <row r="241" spans="1:8" s="3" customFormat="1" ht="12.75">
      <c r="A241" s="64" t="s">
        <v>179</v>
      </c>
      <c r="B241" s="117" t="s">
        <v>498</v>
      </c>
      <c r="C241" s="117" t="s">
        <v>200</v>
      </c>
      <c r="D241" s="178">
        <f>4100+500</f>
        <v>4600</v>
      </c>
      <c r="H241" s="318"/>
    </row>
    <row r="242" spans="1:8" s="1" customFormat="1" ht="25.5">
      <c r="A242" s="46" t="s">
        <v>691</v>
      </c>
      <c r="B242" s="117" t="s">
        <v>690</v>
      </c>
      <c r="C242" s="117"/>
      <c r="D242" s="178">
        <f>D243</f>
        <v>4209.5</v>
      </c>
      <c r="H242" s="316"/>
    </row>
    <row r="243" spans="1:8" s="1" customFormat="1" ht="12.75">
      <c r="A243" s="63" t="s">
        <v>227</v>
      </c>
      <c r="B243" s="117" t="s">
        <v>690</v>
      </c>
      <c r="C243" s="117" t="s">
        <v>199</v>
      </c>
      <c r="D243" s="178">
        <f>SUM(D244)</f>
        <v>4209.5</v>
      </c>
      <c r="H243" s="316"/>
    </row>
    <row r="244" spans="1:8" s="1" customFormat="1" ht="12.75">
      <c r="A244" s="64" t="s">
        <v>179</v>
      </c>
      <c r="B244" s="117" t="s">
        <v>690</v>
      </c>
      <c r="C244" s="117" t="s">
        <v>200</v>
      </c>
      <c r="D244" s="178">
        <f>4872.8-663.3</f>
        <v>4209.5</v>
      </c>
      <c r="H244" s="316"/>
    </row>
    <row r="245" spans="1:8" s="1" customFormat="1" ht="38.25">
      <c r="A245" s="46" t="s">
        <v>497</v>
      </c>
      <c r="B245" s="117" t="s">
        <v>496</v>
      </c>
      <c r="C245" s="117"/>
      <c r="D245" s="178">
        <f>D246</f>
        <v>4022</v>
      </c>
      <c r="H245" s="316"/>
    </row>
    <row r="246" spans="1:8" s="1" customFormat="1" ht="12.75">
      <c r="A246" s="60" t="s">
        <v>226</v>
      </c>
      <c r="B246" s="117" t="s">
        <v>496</v>
      </c>
      <c r="C246" s="117" t="s">
        <v>188</v>
      </c>
      <c r="D246" s="178">
        <f>SUM(D247)</f>
        <v>4022</v>
      </c>
      <c r="H246" s="316"/>
    </row>
    <row r="247" spans="1:8" s="1" customFormat="1" ht="12.75">
      <c r="A247" s="60" t="s">
        <v>189</v>
      </c>
      <c r="B247" s="117" t="s">
        <v>496</v>
      </c>
      <c r="C247" s="117" t="s">
        <v>187</v>
      </c>
      <c r="D247" s="178">
        <v>4022</v>
      </c>
      <c r="H247" s="316"/>
    </row>
    <row r="248" spans="1:8" s="1" customFormat="1" ht="25.5">
      <c r="A248" s="129" t="s">
        <v>491</v>
      </c>
      <c r="B248" s="127" t="s">
        <v>83</v>
      </c>
      <c r="C248" s="134"/>
      <c r="D248" s="177">
        <f>D249+D254+D257</f>
        <v>753.6</v>
      </c>
      <c r="H248" s="316"/>
    </row>
    <row r="249" spans="1:8" s="1" customFormat="1" ht="25.5">
      <c r="A249" s="161" t="s">
        <v>94</v>
      </c>
      <c r="B249" s="117" t="s">
        <v>348</v>
      </c>
      <c r="C249" s="117"/>
      <c r="D249" s="178">
        <f>D250+D252</f>
        <v>40</v>
      </c>
      <c r="H249" s="316"/>
    </row>
    <row r="250" spans="1:8" s="1" customFormat="1" ht="12.75">
      <c r="A250" s="60" t="s">
        <v>226</v>
      </c>
      <c r="B250" s="117" t="s">
        <v>348</v>
      </c>
      <c r="C250" s="117" t="s">
        <v>188</v>
      </c>
      <c r="D250" s="178">
        <f>D251</f>
        <v>5</v>
      </c>
      <c r="H250" s="316"/>
    </row>
    <row r="251" spans="1:8" s="1" customFormat="1" ht="12.75">
      <c r="A251" s="60" t="s">
        <v>189</v>
      </c>
      <c r="B251" s="117" t="s">
        <v>348</v>
      </c>
      <c r="C251" s="117" t="s">
        <v>187</v>
      </c>
      <c r="D251" s="178">
        <v>5</v>
      </c>
      <c r="H251" s="316"/>
    </row>
    <row r="252" spans="1:8" s="1" customFormat="1" ht="25.5">
      <c r="A252" s="63" t="s">
        <v>190</v>
      </c>
      <c r="B252" s="117" t="s">
        <v>348</v>
      </c>
      <c r="C252" s="117" t="s">
        <v>178</v>
      </c>
      <c r="D252" s="178">
        <f>D253</f>
        <v>35</v>
      </c>
      <c r="H252" s="316"/>
    </row>
    <row r="253" spans="1:8" s="1" customFormat="1" ht="12.75">
      <c r="A253" s="50" t="s">
        <v>191</v>
      </c>
      <c r="B253" s="117" t="s">
        <v>348</v>
      </c>
      <c r="C253" s="117" t="s">
        <v>192</v>
      </c>
      <c r="D253" s="178">
        <v>35</v>
      </c>
      <c r="H253" s="316"/>
    </row>
    <row r="254" spans="1:8" s="1" customFormat="1" ht="38.25">
      <c r="A254" s="78" t="s">
        <v>577</v>
      </c>
      <c r="B254" s="117" t="s">
        <v>578</v>
      </c>
      <c r="C254" s="117"/>
      <c r="D254" s="178">
        <f>D255</f>
        <v>693.6</v>
      </c>
      <c r="H254" s="316"/>
    </row>
    <row r="255" spans="1:8" s="1" customFormat="1" ht="12.75">
      <c r="A255" s="60" t="s">
        <v>226</v>
      </c>
      <c r="B255" s="117" t="s">
        <v>578</v>
      </c>
      <c r="C255" s="117" t="s">
        <v>188</v>
      </c>
      <c r="D255" s="178">
        <f>D256</f>
        <v>693.6</v>
      </c>
      <c r="H255" s="316"/>
    </row>
    <row r="256" spans="1:8" s="1" customFormat="1" ht="12.75">
      <c r="A256" s="60" t="s">
        <v>189</v>
      </c>
      <c r="B256" s="117" t="s">
        <v>578</v>
      </c>
      <c r="C256" s="117" t="s">
        <v>187</v>
      </c>
      <c r="D256" s="178">
        <v>693.6</v>
      </c>
      <c r="H256" s="316"/>
    </row>
    <row r="257" spans="1:8" s="1" customFormat="1" ht="25.5">
      <c r="A257" s="50" t="s">
        <v>579</v>
      </c>
      <c r="B257" s="117" t="s">
        <v>580</v>
      </c>
      <c r="C257" s="117"/>
      <c r="D257" s="178">
        <f>D258</f>
        <v>20</v>
      </c>
      <c r="H257" s="316"/>
    </row>
    <row r="258" spans="1:8" s="1" customFormat="1" ht="12.75">
      <c r="A258" s="60" t="s">
        <v>226</v>
      </c>
      <c r="B258" s="117" t="s">
        <v>580</v>
      </c>
      <c r="C258" s="117" t="s">
        <v>188</v>
      </c>
      <c r="D258" s="178">
        <f>D259</f>
        <v>20</v>
      </c>
      <c r="H258" s="316"/>
    </row>
    <row r="259" spans="1:8" s="1" customFormat="1" ht="12.75">
      <c r="A259" s="60" t="s">
        <v>189</v>
      </c>
      <c r="B259" s="117" t="s">
        <v>580</v>
      </c>
      <c r="C259" s="117" t="s">
        <v>187</v>
      </c>
      <c r="D259" s="178">
        <v>20</v>
      </c>
      <c r="H259" s="316"/>
    </row>
    <row r="260" spans="1:8" s="1" customFormat="1" ht="12.75">
      <c r="A260" s="130" t="s">
        <v>493</v>
      </c>
      <c r="B260" s="127" t="s">
        <v>54</v>
      </c>
      <c r="C260" s="127"/>
      <c r="D260" s="177">
        <f>D261+D284+D268+D272</f>
        <v>5866.1</v>
      </c>
      <c r="H260" s="316"/>
    </row>
    <row r="261" spans="1:8" s="1" customFormat="1" ht="38.25">
      <c r="A261" s="174" t="s">
        <v>401</v>
      </c>
      <c r="B261" s="116" t="s">
        <v>310</v>
      </c>
      <c r="C261" s="116"/>
      <c r="D261" s="184">
        <f>D262</f>
        <v>3733.1</v>
      </c>
      <c r="H261" s="316"/>
    </row>
    <row r="262" spans="1:8" s="1" customFormat="1" ht="12.75">
      <c r="A262" s="50" t="s">
        <v>106</v>
      </c>
      <c r="B262" s="115" t="s">
        <v>400</v>
      </c>
      <c r="C262" s="145"/>
      <c r="D262" s="184">
        <f>D263+D266</f>
        <v>3733.1</v>
      </c>
      <c r="H262" s="316"/>
    </row>
    <row r="263" spans="1:8" s="1" customFormat="1" ht="38.25">
      <c r="A263" s="60" t="s">
        <v>116</v>
      </c>
      <c r="B263" s="115" t="s">
        <v>400</v>
      </c>
      <c r="C263" s="115" t="s">
        <v>198</v>
      </c>
      <c r="D263" s="178">
        <f>D264</f>
        <v>3313.1</v>
      </c>
      <c r="H263" s="316"/>
    </row>
    <row r="264" spans="1:8" s="1" customFormat="1" ht="12.75">
      <c r="A264" s="60" t="s">
        <v>255</v>
      </c>
      <c r="B264" s="115" t="s">
        <v>400</v>
      </c>
      <c r="C264" s="115" t="s">
        <v>254</v>
      </c>
      <c r="D264" s="178">
        <f>3047.1+266</f>
        <v>3313.1</v>
      </c>
      <c r="H264" s="316"/>
    </row>
    <row r="265" spans="1:8" s="1" customFormat="1" ht="25.5">
      <c r="A265" s="60" t="s">
        <v>645</v>
      </c>
      <c r="B265" s="117" t="s">
        <v>611</v>
      </c>
      <c r="C265" s="115"/>
      <c r="D265" s="178">
        <f>D266</f>
        <v>420</v>
      </c>
      <c r="H265" s="316"/>
    </row>
    <row r="266" spans="1:8" s="1" customFormat="1" ht="12.75">
      <c r="A266" s="60" t="s">
        <v>226</v>
      </c>
      <c r="B266" s="117" t="s">
        <v>611</v>
      </c>
      <c r="C266" s="117" t="s">
        <v>188</v>
      </c>
      <c r="D266" s="178">
        <f>D267</f>
        <v>420</v>
      </c>
      <c r="H266" s="316"/>
    </row>
    <row r="267" spans="1:8" s="1" customFormat="1" ht="12.75">
      <c r="A267" s="60" t="s">
        <v>189</v>
      </c>
      <c r="B267" s="117" t="s">
        <v>611</v>
      </c>
      <c r="C267" s="117" t="s">
        <v>187</v>
      </c>
      <c r="D267" s="178">
        <f>20+400</f>
        <v>420</v>
      </c>
      <c r="H267" s="316"/>
    </row>
    <row r="268" spans="1:8" s="1" customFormat="1" ht="12.75">
      <c r="A268" s="155" t="s">
        <v>565</v>
      </c>
      <c r="B268" s="162" t="s">
        <v>566</v>
      </c>
      <c r="C268" s="117"/>
      <c r="D268" s="178">
        <f>D269</f>
        <v>70</v>
      </c>
      <c r="H268" s="316"/>
    </row>
    <row r="269" spans="1:8" s="4" customFormat="1" ht="25.5">
      <c r="A269" s="140" t="s">
        <v>642</v>
      </c>
      <c r="B269" s="115" t="s">
        <v>567</v>
      </c>
      <c r="C269" s="117"/>
      <c r="D269" s="178">
        <f>D270</f>
        <v>70</v>
      </c>
      <c r="H269" s="317"/>
    </row>
    <row r="270" spans="1:8" s="4" customFormat="1" ht="12.75">
      <c r="A270" s="84" t="s">
        <v>226</v>
      </c>
      <c r="B270" s="115" t="s">
        <v>567</v>
      </c>
      <c r="C270" s="117" t="s">
        <v>188</v>
      </c>
      <c r="D270" s="178">
        <f>D271</f>
        <v>70</v>
      </c>
      <c r="H270" s="317"/>
    </row>
    <row r="271" spans="1:8" s="1" customFormat="1" ht="12.75">
      <c r="A271" s="84" t="s">
        <v>189</v>
      </c>
      <c r="B271" s="115" t="s">
        <v>567</v>
      </c>
      <c r="C271" s="117" t="s">
        <v>187</v>
      </c>
      <c r="D271" s="178">
        <v>70</v>
      </c>
      <c r="H271" s="316"/>
    </row>
    <row r="272" spans="1:8" s="4" customFormat="1" ht="12.75">
      <c r="A272" s="155" t="s">
        <v>569</v>
      </c>
      <c r="B272" s="162" t="s">
        <v>573</v>
      </c>
      <c r="C272" s="117"/>
      <c r="D272" s="178">
        <f>D273+D278+D281</f>
        <v>1763</v>
      </c>
      <c r="H272" s="317"/>
    </row>
    <row r="273" spans="1:8" s="4" customFormat="1" ht="12.75">
      <c r="A273" s="140" t="s">
        <v>570</v>
      </c>
      <c r="B273" s="115" t="s">
        <v>574</v>
      </c>
      <c r="C273" s="117"/>
      <c r="D273" s="178">
        <f>D274+D276</f>
        <v>1123</v>
      </c>
      <c r="H273" s="317"/>
    </row>
    <row r="274" spans="1:8" s="1" customFormat="1" ht="38.25">
      <c r="A274" s="84" t="s">
        <v>116</v>
      </c>
      <c r="B274" s="115" t="s">
        <v>574</v>
      </c>
      <c r="C274" s="119" t="s">
        <v>198</v>
      </c>
      <c r="D274" s="178">
        <f>D275</f>
        <v>40</v>
      </c>
      <c r="H274" s="316"/>
    </row>
    <row r="275" spans="1:8" s="4" customFormat="1" ht="12.75">
      <c r="A275" s="84" t="s">
        <v>193</v>
      </c>
      <c r="B275" s="115" t="s">
        <v>574</v>
      </c>
      <c r="C275" s="119" t="s">
        <v>194</v>
      </c>
      <c r="D275" s="178">
        <v>40</v>
      </c>
      <c r="H275" s="317"/>
    </row>
    <row r="276" spans="1:8" s="4" customFormat="1" ht="12.75">
      <c r="A276" s="84" t="s">
        <v>226</v>
      </c>
      <c r="B276" s="115" t="s">
        <v>574</v>
      </c>
      <c r="C276" s="119" t="s">
        <v>188</v>
      </c>
      <c r="D276" s="178">
        <f>D277</f>
        <v>1083</v>
      </c>
      <c r="H276" s="317"/>
    </row>
    <row r="277" spans="1:8" s="1" customFormat="1" ht="27.75" customHeight="1">
      <c r="A277" s="84" t="s">
        <v>189</v>
      </c>
      <c r="B277" s="115" t="s">
        <v>574</v>
      </c>
      <c r="C277" s="119" t="s">
        <v>187</v>
      </c>
      <c r="D277" s="178">
        <v>1083</v>
      </c>
      <c r="H277" s="316"/>
    </row>
    <row r="278" spans="1:8" s="4" customFormat="1" ht="12.75">
      <c r="A278" s="140" t="s">
        <v>571</v>
      </c>
      <c r="B278" s="115" t="s">
        <v>575</v>
      </c>
      <c r="C278" s="119"/>
      <c r="D278" s="178">
        <f>D279</f>
        <v>600</v>
      </c>
      <c r="H278" s="317"/>
    </row>
    <row r="279" spans="1:8" s="4" customFormat="1" ht="12.75">
      <c r="A279" s="84" t="s">
        <v>226</v>
      </c>
      <c r="B279" s="115" t="s">
        <v>575</v>
      </c>
      <c r="C279" s="119" t="s">
        <v>188</v>
      </c>
      <c r="D279" s="178">
        <f>D280</f>
        <v>600</v>
      </c>
      <c r="H279" s="317"/>
    </row>
    <row r="280" spans="1:10" s="4" customFormat="1" ht="12.75">
      <c r="A280" s="84" t="s">
        <v>189</v>
      </c>
      <c r="B280" s="115" t="s">
        <v>575</v>
      </c>
      <c r="C280" s="119" t="s">
        <v>187</v>
      </c>
      <c r="D280" s="178">
        <v>600</v>
      </c>
      <c r="H280" s="317"/>
      <c r="J280" s="9"/>
    </row>
    <row r="281" spans="1:10" s="4" customFormat="1" ht="12.75">
      <c r="A281" s="140" t="s">
        <v>572</v>
      </c>
      <c r="B281" s="115" t="s">
        <v>576</v>
      </c>
      <c r="C281" s="119"/>
      <c r="D281" s="178">
        <f>D282</f>
        <v>40</v>
      </c>
      <c r="H281" s="317"/>
      <c r="J281" s="9"/>
    </row>
    <row r="282" spans="1:10" s="1" customFormat="1" ht="12.75">
      <c r="A282" s="63" t="s">
        <v>89</v>
      </c>
      <c r="B282" s="115" t="s">
        <v>576</v>
      </c>
      <c r="C282" s="119" t="s">
        <v>85</v>
      </c>
      <c r="D282" s="178">
        <f>D283</f>
        <v>40</v>
      </c>
      <c r="H282" s="316"/>
      <c r="J282" s="15"/>
    </row>
    <row r="283" spans="1:10" ht="15.75">
      <c r="A283" s="46" t="s">
        <v>84</v>
      </c>
      <c r="B283" s="115" t="s">
        <v>576</v>
      </c>
      <c r="C283" s="119" t="s">
        <v>86</v>
      </c>
      <c r="D283" s="178">
        <v>40</v>
      </c>
      <c r="J283" s="10"/>
    </row>
    <row r="284" spans="1:10" ht="15.75">
      <c r="A284" s="53" t="s">
        <v>402</v>
      </c>
      <c r="B284" s="116" t="s">
        <v>56</v>
      </c>
      <c r="C284" s="116"/>
      <c r="D284" s="184">
        <f>D285</f>
        <v>300</v>
      </c>
      <c r="J284" s="10"/>
    </row>
    <row r="285" spans="1:8" s="4" customFormat="1" ht="12.75">
      <c r="A285" s="164" t="s">
        <v>58</v>
      </c>
      <c r="B285" s="117" t="s">
        <v>57</v>
      </c>
      <c r="C285" s="117"/>
      <c r="D285" s="178">
        <f>SUM(D286)</f>
        <v>300</v>
      </c>
      <c r="H285" s="317"/>
    </row>
    <row r="286" spans="1:8" s="4" customFormat="1" ht="12.75">
      <c r="A286" s="60" t="s">
        <v>226</v>
      </c>
      <c r="B286" s="117" t="s">
        <v>57</v>
      </c>
      <c r="C286" s="117" t="s">
        <v>188</v>
      </c>
      <c r="D286" s="178">
        <f>D287</f>
        <v>300</v>
      </c>
      <c r="H286" s="317"/>
    </row>
    <row r="287" spans="1:8" s="4" customFormat="1" ht="18" customHeight="1">
      <c r="A287" s="60" t="s">
        <v>189</v>
      </c>
      <c r="B287" s="117" t="s">
        <v>57</v>
      </c>
      <c r="C287" s="117" t="s">
        <v>187</v>
      </c>
      <c r="D287" s="178">
        <v>300</v>
      </c>
      <c r="H287" s="317"/>
    </row>
    <row r="288" spans="1:10" s="16" customFormat="1" ht="25.5">
      <c r="A288" s="129" t="s">
        <v>594</v>
      </c>
      <c r="B288" s="127" t="s">
        <v>328</v>
      </c>
      <c r="C288" s="134"/>
      <c r="D288" s="177">
        <f>D289+D292+D295+D298</f>
        <v>31191.98</v>
      </c>
      <c r="H288" s="293"/>
      <c r="J288" s="11"/>
    </row>
    <row r="289" spans="1:10" ht="15.75">
      <c r="A289" s="46" t="s">
        <v>7</v>
      </c>
      <c r="B289" s="117" t="s">
        <v>458</v>
      </c>
      <c r="C289" s="117"/>
      <c r="D289" s="178">
        <f>D290</f>
        <v>798.434</v>
      </c>
      <c r="J289" s="10"/>
    </row>
    <row r="290" spans="1:10" ht="15.75">
      <c r="A290" s="60" t="s">
        <v>226</v>
      </c>
      <c r="B290" s="117" t="s">
        <v>458</v>
      </c>
      <c r="C290" s="117" t="s">
        <v>188</v>
      </c>
      <c r="D290" s="178">
        <f>D291</f>
        <v>798.434</v>
      </c>
      <c r="J290" s="10"/>
    </row>
    <row r="291" spans="1:10" ht="15.75">
      <c r="A291" s="60" t="s">
        <v>189</v>
      </c>
      <c r="B291" s="117" t="s">
        <v>458</v>
      </c>
      <c r="C291" s="117" t="s">
        <v>187</v>
      </c>
      <c r="D291" s="178">
        <v>798.434</v>
      </c>
      <c r="J291" s="10"/>
    </row>
    <row r="292" spans="1:10" ht="25.5">
      <c r="A292" s="46" t="s">
        <v>329</v>
      </c>
      <c r="B292" s="117" t="s">
        <v>330</v>
      </c>
      <c r="C292" s="117"/>
      <c r="D292" s="178">
        <f>D293</f>
        <v>2500</v>
      </c>
      <c r="J292" s="10"/>
    </row>
    <row r="293" spans="1:10" ht="15.75">
      <c r="A293" s="60" t="s">
        <v>226</v>
      </c>
      <c r="B293" s="117" t="s">
        <v>330</v>
      </c>
      <c r="C293" s="117" t="s">
        <v>188</v>
      </c>
      <c r="D293" s="178">
        <f>D294</f>
        <v>2500</v>
      </c>
      <c r="J293" s="10"/>
    </row>
    <row r="294" spans="1:10" ht="25.5" customHeight="1">
      <c r="A294" s="60" t="s">
        <v>189</v>
      </c>
      <c r="B294" s="117" t="s">
        <v>330</v>
      </c>
      <c r="C294" s="117" t="s">
        <v>187</v>
      </c>
      <c r="D294" s="178">
        <v>2500</v>
      </c>
      <c r="J294" s="10"/>
    </row>
    <row r="295" spans="1:10" ht="15.75">
      <c r="A295" s="46" t="s">
        <v>455</v>
      </c>
      <c r="B295" s="117" t="s">
        <v>453</v>
      </c>
      <c r="C295" s="117"/>
      <c r="D295" s="178">
        <f>D296</f>
        <v>27493.546</v>
      </c>
      <c r="J295" s="10"/>
    </row>
    <row r="296" spans="1:10" ht="15.75">
      <c r="A296" s="60" t="s">
        <v>226</v>
      </c>
      <c r="B296" s="117" t="s">
        <v>453</v>
      </c>
      <c r="C296" s="117" t="s">
        <v>188</v>
      </c>
      <c r="D296" s="178">
        <f>D297</f>
        <v>27493.546</v>
      </c>
      <c r="J296" s="10"/>
    </row>
    <row r="297" spans="1:10" ht="15.75">
      <c r="A297" s="60" t="s">
        <v>189</v>
      </c>
      <c r="B297" s="117" t="s">
        <v>453</v>
      </c>
      <c r="C297" s="117" t="s">
        <v>187</v>
      </c>
      <c r="D297" s="178">
        <v>27493.546</v>
      </c>
      <c r="J297" s="10"/>
    </row>
    <row r="298" spans="1:10" ht="38.25">
      <c r="A298" s="46" t="s">
        <v>456</v>
      </c>
      <c r="B298" s="117" t="s">
        <v>457</v>
      </c>
      <c r="C298" s="117"/>
      <c r="D298" s="178">
        <f>D299</f>
        <v>400</v>
      </c>
      <c r="J298" s="10"/>
    </row>
    <row r="299" spans="1:10" s="1" customFormat="1" ht="12.75">
      <c r="A299" s="60" t="s">
        <v>226</v>
      </c>
      <c r="B299" s="117" t="s">
        <v>457</v>
      </c>
      <c r="C299" s="117" t="s">
        <v>188</v>
      </c>
      <c r="D299" s="178">
        <f>D300</f>
        <v>400</v>
      </c>
      <c r="H299" s="316"/>
      <c r="J299" s="15"/>
    </row>
    <row r="300" spans="1:10" s="1" customFormat="1" ht="12.75">
      <c r="A300" s="60" t="s">
        <v>189</v>
      </c>
      <c r="B300" s="117" t="s">
        <v>457</v>
      </c>
      <c r="C300" s="117" t="s">
        <v>187</v>
      </c>
      <c r="D300" s="178">
        <v>400</v>
      </c>
      <c r="H300" s="316"/>
      <c r="J300" s="15"/>
    </row>
    <row r="301" spans="1:10" s="1" customFormat="1" ht="25.5">
      <c r="A301" s="128" t="s">
        <v>602</v>
      </c>
      <c r="B301" s="127" t="s">
        <v>38</v>
      </c>
      <c r="C301" s="127"/>
      <c r="D301" s="177">
        <f>D302+D311</f>
        <v>26186.1</v>
      </c>
      <c r="H301" s="316"/>
      <c r="J301" s="15"/>
    </row>
    <row r="302" spans="1:10" s="1" customFormat="1" ht="25.5">
      <c r="A302" s="142" t="s">
        <v>549</v>
      </c>
      <c r="B302" s="116" t="s">
        <v>225</v>
      </c>
      <c r="C302" s="116"/>
      <c r="D302" s="184">
        <f>D303+D308</f>
        <v>3984.8</v>
      </c>
      <c r="H302" s="316"/>
      <c r="J302" s="15"/>
    </row>
    <row r="303" spans="1:10" s="1" customFormat="1" ht="12.75">
      <c r="A303" s="64" t="s">
        <v>318</v>
      </c>
      <c r="B303" s="117" t="s">
        <v>39</v>
      </c>
      <c r="C303" s="117"/>
      <c r="D303" s="178">
        <f>D305+D307</f>
        <v>1584.8</v>
      </c>
      <c r="H303" s="316"/>
      <c r="J303" s="15"/>
    </row>
    <row r="304" spans="1:10" ht="15.75">
      <c r="A304" s="60" t="s">
        <v>226</v>
      </c>
      <c r="B304" s="117" t="s">
        <v>39</v>
      </c>
      <c r="C304" s="117" t="s">
        <v>188</v>
      </c>
      <c r="D304" s="178">
        <f>D305</f>
        <v>1274.8</v>
      </c>
      <c r="J304" s="10"/>
    </row>
    <row r="305" spans="1:10" s="1" customFormat="1" ht="12.75">
      <c r="A305" s="60" t="s">
        <v>189</v>
      </c>
      <c r="B305" s="117" t="s">
        <v>39</v>
      </c>
      <c r="C305" s="117" t="s">
        <v>187</v>
      </c>
      <c r="D305" s="178">
        <v>1274.8</v>
      </c>
      <c r="H305" s="316"/>
      <c r="J305" s="15"/>
    </row>
    <row r="306" spans="1:10" s="1" customFormat="1" ht="25.5">
      <c r="A306" s="64" t="s">
        <v>190</v>
      </c>
      <c r="B306" s="117" t="s">
        <v>39</v>
      </c>
      <c r="C306" s="117" t="s">
        <v>178</v>
      </c>
      <c r="D306" s="178">
        <f>D307</f>
        <v>310</v>
      </c>
      <c r="H306" s="316"/>
      <c r="J306" s="15"/>
    </row>
    <row r="307" spans="1:8" s="1" customFormat="1" ht="12.75">
      <c r="A307" s="64" t="s">
        <v>191</v>
      </c>
      <c r="B307" s="117" t="s">
        <v>39</v>
      </c>
      <c r="C307" s="117" t="s">
        <v>192</v>
      </c>
      <c r="D307" s="178">
        <v>310</v>
      </c>
      <c r="H307" s="316"/>
    </row>
    <row r="308" spans="1:8" s="1" customFormat="1" ht="12.75">
      <c r="A308" s="64" t="s">
        <v>308</v>
      </c>
      <c r="B308" s="117" t="s">
        <v>265</v>
      </c>
      <c r="C308" s="117"/>
      <c r="D308" s="178">
        <f>D309</f>
        <v>2400</v>
      </c>
      <c r="H308" s="316"/>
    </row>
    <row r="309" spans="1:8" s="1" customFormat="1" ht="25.5">
      <c r="A309" s="64" t="s">
        <v>190</v>
      </c>
      <c r="B309" s="117" t="s">
        <v>265</v>
      </c>
      <c r="C309" s="117" t="s">
        <v>178</v>
      </c>
      <c r="D309" s="178">
        <f>D310</f>
        <v>2400</v>
      </c>
      <c r="H309" s="316"/>
    </row>
    <row r="310" spans="1:8" s="1" customFormat="1" ht="12.75">
      <c r="A310" s="64" t="s">
        <v>191</v>
      </c>
      <c r="B310" s="117" t="s">
        <v>265</v>
      </c>
      <c r="C310" s="117" t="s">
        <v>192</v>
      </c>
      <c r="D310" s="178">
        <v>2400</v>
      </c>
      <c r="H310" s="316"/>
    </row>
    <row r="311" spans="1:8" s="1" customFormat="1" ht="25.5">
      <c r="A311" s="142" t="s">
        <v>353</v>
      </c>
      <c r="B311" s="116" t="s">
        <v>40</v>
      </c>
      <c r="C311" s="116"/>
      <c r="D311" s="184">
        <f>D312+D315+D318+D321+D324+D327+D330+D333+D336+D339+D342</f>
        <v>22201.3</v>
      </c>
      <c r="H311" s="316"/>
    </row>
    <row r="312" spans="1:8" s="1" customFormat="1" ht="12.75">
      <c r="A312" s="64" t="s">
        <v>104</v>
      </c>
      <c r="B312" s="117" t="s">
        <v>366</v>
      </c>
      <c r="C312" s="117"/>
      <c r="D312" s="178">
        <f>D313</f>
        <v>15524.5</v>
      </c>
      <c r="H312" s="316"/>
    </row>
    <row r="313" spans="1:8" s="1" customFormat="1" ht="25.5">
      <c r="A313" s="64" t="s">
        <v>190</v>
      </c>
      <c r="B313" s="117" t="s">
        <v>366</v>
      </c>
      <c r="C313" s="117" t="s">
        <v>178</v>
      </c>
      <c r="D313" s="178">
        <f>D314</f>
        <v>15524.5</v>
      </c>
      <c r="H313" s="316"/>
    </row>
    <row r="314" spans="1:8" s="1" customFormat="1" ht="12.75">
      <c r="A314" s="64" t="s">
        <v>191</v>
      </c>
      <c r="B314" s="117" t="s">
        <v>366</v>
      </c>
      <c r="C314" s="117" t="s">
        <v>192</v>
      </c>
      <c r="D314" s="178">
        <v>15524.5</v>
      </c>
      <c r="H314" s="316"/>
    </row>
    <row r="315" spans="1:8" s="1" customFormat="1" ht="25.5">
      <c r="A315" s="304" t="s">
        <v>632</v>
      </c>
      <c r="B315" s="117" t="s">
        <v>599</v>
      </c>
      <c r="C315" s="117"/>
      <c r="D315" s="178">
        <f>D316</f>
        <v>25</v>
      </c>
      <c r="H315" s="316"/>
    </row>
    <row r="316" spans="1:8" s="1" customFormat="1" ht="25.5">
      <c r="A316" s="64" t="s">
        <v>190</v>
      </c>
      <c r="B316" s="117" t="s">
        <v>599</v>
      </c>
      <c r="C316" s="117" t="s">
        <v>178</v>
      </c>
      <c r="D316" s="178">
        <f>D317</f>
        <v>25</v>
      </c>
      <c r="H316" s="316"/>
    </row>
    <row r="317" spans="1:8" s="8" customFormat="1" ht="12.75">
      <c r="A317" s="64" t="s">
        <v>191</v>
      </c>
      <c r="B317" s="117" t="s">
        <v>599</v>
      </c>
      <c r="C317" s="117" t="s">
        <v>192</v>
      </c>
      <c r="D317" s="178">
        <v>25</v>
      </c>
      <c r="H317" s="319"/>
    </row>
    <row r="318" spans="1:8" s="151" customFormat="1" ht="12.75">
      <c r="A318" s="64" t="s">
        <v>216</v>
      </c>
      <c r="B318" s="117" t="s">
        <v>367</v>
      </c>
      <c r="C318" s="117"/>
      <c r="D318" s="178">
        <f>D319</f>
        <v>100</v>
      </c>
      <c r="H318" s="320"/>
    </row>
    <row r="319" spans="1:8" s="8" customFormat="1" ht="25.5">
      <c r="A319" s="64" t="s">
        <v>190</v>
      </c>
      <c r="B319" s="117" t="s">
        <v>367</v>
      </c>
      <c r="C319" s="117" t="s">
        <v>178</v>
      </c>
      <c r="D319" s="178">
        <f>D320</f>
        <v>100</v>
      </c>
      <c r="H319" s="319"/>
    </row>
    <row r="320" spans="1:8" s="8" customFormat="1" ht="12.75">
      <c r="A320" s="64" t="s">
        <v>191</v>
      </c>
      <c r="B320" s="117" t="s">
        <v>367</v>
      </c>
      <c r="C320" s="117" t="s">
        <v>192</v>
      </c>
      <c r="D320" s="178">
        <v>100</v>
      </c>
      <c r="H320" s="319"/>
    </row>
    <row r="321" spans="1:8" s="8" customFormat="1" ht="12.75">
      <c r="A321" s="64" t="s">
        <v>7</v>
      </c>
      <c r="B321" s="117" t="s">
        <v>600</v>
      </c>
      <c r="C321" s="117"/>
      <c r="D321" s="178">
        <f>D322</f>
        <v>1500</v>
      </c>
      <c r="H321" s="319"/>
    </row>
    <row r="322" spans="1:8" s="8" customFormat="1" ht="25.5">
      <c r="A322" s="64" t="s">
        <v>190</v>
      </c>
      <c r="B322" s="117" t="s">
        <v>600</v>
      </c>
      <c r="C322" s="117" t="s">
        <v>178</v>
      </c>
      <c r="D322" s="178">
        <f>D323</f>
        <v>1500</v>
      </c>
      <c r="H322" s="319"/>
    </row>
    <row r="323" spans="1:8" s="8" customFormat="1" ht="12.75">
      <c r="A323" s="64" t="s">
        <v>191</v>
      </c>
      <c r="B323" s="117" t="s">
        <v>600</v>
      </c>
      <c r="C323" s="117" t="s">
        <v>192</v>
      </c>
      <c r="D323" s="178">
        <f>100+1400</f>
        <v>1500</v>
      </c>
      <c r="H323" s="319"/>
    </row>
    <row r="324" spans="1:8" s="8" customFormat="1" ht="25.5">
      <c r="A324" s="64" t="s">
        <v>267</v>
      </c>
      <c r="B324" s="117" t="s">
        <v>368</v>
      </c>
      <c r="C324" s="117"/>
      <c r="D324" s="178">
        <f>D325</f>
        <v>3.5</v>
      </c>
      <c r="H324" s="319"/>
    </row>
    <row r="325" spans="1:8" s="8" customFormat="1" ht="25.5">
      <c r="A325" s="64" t="s">
        <v>190</v>
      </c>
      <c r="B325" s="117" t="s">
        <v>368</v>
      </c>
      <c r="C325" s="117" t="s">
        <v>290</v>
      </c>
      <c r="D325" s="178">
        <f>D326</f>
        <v>3.5</v>
      </c>
      <c r="H325" s="319"/>
    </row>
    <row r="326" spans="1:8" s="8" customFormat="1" ht="12.75">
      <c r="A326" s="64" t="s">
        <v>191</v>
      </c>
      <c r="B326" s="117" t="s">
        <v>368</v>
      </c>
      <c r="C326" s="117" t="s">
        <v>192</v>
      </c>
      <c r="D326" s="178">
        <v>3.5</v>
      </c>
      <c r="H326" s="319"/>
    </row>
    <row r="327" spans="1:8" s="8" customFormat="1" ht="12.75">
      <c r="A327" s="64" t="s">
        <v>268</v>
      </c>
      <c r="B327" s="117" t="s">
        <v>369</v>
      </c>
      <c r="C327" s="117"/>
      <c r="D327" s="178">
        <f>D328</f>
        <v>235</v>
      </c>
      <c r="H327" s="319"/>
    </row>
    <row r="328" spans="1:8" s="8" customFormat="1" ht="25.5">
      <c r="A328" s="64" t="s">
        <v>190</v>
      </c>
      <c r="B328" s="117" t="s">
        <v>369</v>
      </c>
      <c r="C328" s="117" t="s">
        <v>290</v>
      </c>
      <c r="D328" s="178">
        <f>D329</f>
        <v>235</v>
      </c>
      <c r="H328" s="319"/>
    </row>
    <row r="329" spans="1:8" s="8" customFormat="1" ht="12.75">
      <c r="A329" s="64" t="s">
        <v>191</v>
      </c>
      <c r="B329" s="117" t="s">
        <v>369</v>
      </c>
      <c r="C329" s="117" t="s">
        <v>192</v>
      </c>
      <c r="D329" s="178">
        <v>235</v>
      </c>
      <c r="H329" s="319"/>
    </row>
    <row r="330" spans="1:8" s="1" customFormat="1" ht="12.75">
      <c r="A330" s="64" t="s">
        <v>269</v>
      </c>
      <c r="B330" s="117" t="s">
        <v>666</v>
      </c>
      <c r="C330" s="117"/>
      <c r="D330" s="178">
        <f>D331</f>
        <v>1263.3</v>
      </c>
      <c r="H330" s="316"/>
    </row>
    <row r="331" spans="1:8" s="1" customFormat="1" ht="25.5">
      <c r="A331" s="64" t="s">
        <v>190</v>
      </c>
      <c r="B331" s="117" t="s">
        <v>666</v>
      </c>
      <c r="C331" s="117" t="s">
        <v>290</v>
      </c>
      <c r="D331" s="178">
        <f>D332</f>
        <v>1263.3</v>
      </c>
      <c r="H331" s="316"/>
    </row>
    <row r="332" spans="1:8" s="1" customFormat="1" ht="12.75">
      <c r="A332" s="64" t="s">
        <v>191</v>
      </c>
      <c r="B332" s="117" t="s">
        <v>666</v>
      </c>
      <c r="C332" s="117" t="s">
        <v>192</v>
      </c>
      <c r="D332" s="178">
        <f>300+663.3+300</f>
        <v>1263.3</v>
      </c>
      <c r="H332" s="316"/>
    </row>
    <row r="333" spans="1:8" s="1" customFormat="1" ht="12.75">
      <c r="A333" s="64" t="s">
        <v>270</v>
      </c>
      <c r="B333" s="117" t="s">
        <v>370</v>
      </c>
      <c r="C333" s="117"/>
      <c r="D333" s="178">
        <f>D334</f>
        <v>900</v>
      </c>
      <c r="H333" s="316"/>
    </row>
    <row r="334" spans="1:8" s="1" customFormat="1" ht="25.5">
      <c r="A334" s="64" t="s">
        <v>190</v>
      </c>
      <c r="B334" s="117" t="s">
        <v>370</v>
      </c>
      <c r="C334" s="117" t="s">
        <v>290</v>
      </c>
      <c r="D334" s="178">
        <f>D335</f>
        <v>900</v>
      </c>
      <c r="H334" s="316"/>
    </row>
    <row r="335" spans="1:8" s="1" customFormat="1" ht="12.75">
      <c r="A335" s="64" t="s">
        <v>191</v>
      </c>
      <c r="B335" s="117" t="s">
        <v>370</v>
      </c>
      <c r="C335" s="117" t="s">
        <v>192</v>
      </c>
      <c r="D335" s="178">
        <v>900</v>
      </c>
      <c r="H335" s="316"/>
    </row>
    <row r="336" spans="1:8" s="1" customFormat="1" ht="12.75">
      <c r="A336" s="64" t="s">
        <v>308</v>
      </c>
      <c r="B336" s="117" t="s">
        <v>371</v>
      </c>
      <c r="C336" s="117"/>
      <c r="D336" s="178">
        <f>D337</f>
        <v>2600</v>
      </c>
      <c r="H336" s="316"/>
    </row>
    <row r="337" spans="1:8" s="1" customFormat="1" ht="25.5">
      <c r="A337" s="64" t="s">
        <v>190</v>
      </c>
      <c r="B337" s="117" t="s">
        <v>371</v>
      </c>
      <c r="C337" s="117" t="s">
        <v>178</v>
      </c>
      <c r="D337" s="178">
        <f>D338</f>
        <v>2600</v>
      </c>
      <c r="H337" s="316"/>
    </row>
    <row r="338" spans="1:8" s="1" customFormat="1" ht="27.75" customHeight="1">
      <c r="A338" s="64" t="s">
        <v>191</v>
      </c>
      <c r="B338" s="117" t="s">
        <v>371</v>
      </c>
      <c r="C338" s="117" t="s">
        <v>192</v>
      </c>
      <c r="D338" s="178">
        <f>900+1700</f>
        <v>2600</v>
      </c>
      <c r="H338" s="316"/>
    </row>
    <row r="339" spans="1:8" s="1" customFormat="1" ht="38.25">
      <c r="A339" s="149" t="s">
        <v>553</v>
      </c>
      <c r="B339" s="150" t="s">
        <v>419</v>
      </c>
      <c r="C339" s="150"/>
      <c r="D339" s="192">
        <f>D340</f>
        <v>50</v>
      </c>
      <c r="H339" s="316"/>
    </row>
    <row r="340" spans="1:8" s="1" customFormat="1" ht="25.5">
      <c r="A340" s="64" t="s">
        <v>190</v>
      </c>
      <c r="B340" s="117" t="s">
        <v>419</v>
      </c>
      <c r="C340" s="117" t="s">
        <v>290</v>
      </c>
      <c r="D340" s="178">
        <f>D341</f>
        <v>50</v>
      </c>
      <c r="H340" s="316"/>
    </row>
    <row r="341" spans="1:8" s="1" customFormat="1" ht="12.75">
      <c r="A341" s="64" t="s">
        <v>191</v>
      </c>
      <c r="B341" s="117" t="s">
        <v>419</v>
      </c>
      <c r="C341" s="117" t="s">
        <v>192</v>
      </c>
      <c r="D341" s="178">
        <v>50</v>
      </c>
      <c r="H341" s="316"/>
    </row>
    <row r="342" spans="1:8" s="1" customFormat="1" ht="25.5">
      <c r="A342" s="148" t="s">
        <v>556</v>
      </c>
      <c r="B342" s="117" t="s">
        <v>557</v>
      </c>
      <c r="C342" s="117"/>
      <c r="D342" s="178">
        <f>D343</f>
        <v>0</v>
      </c>
      <c r="H342" s="316"/>
    </row>
    <row r="343" spans="1:8" s="1" customFormat="1" ht="25.5">
      <c r="A343" s="64" t="s">
        <v>190</v>
      </c>
      <c r="B343" s="117" t="s">
        <v>557</v>
      </c>
      <c r="C343" s="117" t="s">
        <v>290</v>
      </c>
      <c r="D343" s="178">
        <f>D344</f>
        <v>0</v>
      </c>
      <c r="H343" s="316"/>
    </row>
    <row r="344" spans="1:8" s="1" customFormat="1" ht="12.75">
      <c r="A344" s="64" t="s">
        <v>191</v>
      </c>
      <c r="B344" s="117" t="s">
        <v>557</v>
      </c>
      <c r="C344" s="117" t="s">
        <v>192</v>
      </c>
      <c r="D344" s="178">
        <f>300-300</f>
        <v>0</v>
      </c>
      <c r="H344" s="316"/>
    </row>
    <row r="345" spans="1:8" s="1" customFormat="1" ht="25.5">
      <c r="A345" s="126" t="s">
        <v>437</v>
      </c>
      <c r="B345" s="127" t="s">
        <v>13</v>
      </c>
      <c r="C345" s="127"/>
      <c r="D345" s="177">
        <f>D346+D353+D356</f>
        <v>695</v>
      </c>
      <c r="H345" s="316"/>
    </row>
    <row r="346" spans="1:8" s="1" customFormat="1" ht="12.75">
      <c r="A346" s="46" t="s">
        <v>93</v>
      </c>
      <c r="B346" s="117" t="s">
        <v>14</v>
      </c>
      <c r="C346" s="139"/>
      <c r="D346" s="178">
        <f>D347+D349+D351</f>
        <v>510</v>
      </c>
      <c r="H346" s="316"/>
    </row>
    <row r="347" spans="1:8" s="1" customFormat="1" ht="12.75">
      <c r="A347" s="60" t="s">
        <v>226</v>
      </c>
      <c r="B347" s="117" t="s">
        <v>14</v>
      </c>
      <c r="C347" s="117" t="s">
        <v>188</v>
      </c>
      <c r="D347" s="178">
        <f>D348</f>
        <v>200</v>
      </c>
      <c r="H347" s="316"/>
    </row>
    <row r="348" spans="1:8" s="1" customFormat="1" ht="12.75">
      <c r="A348" s="60" t="s">
        <v>189</v>
      </c>
      <c r="B348" s="117" t="s">
        <v>14</v>
      </c>
      <c r="C348" s="117" t="s">
        <v>187</v>
      </c>
      <c r="D348" s="178">
        <v>200</v>
      </c>
      <c r="H348" s="316"/>
    </row>
    <row r="349" spans="1:8" s="1" customFormat="1" ht="25.5">
      <c r="A349" s="50" t="s">
        <v>190</v>
      </c>
      <c r="B349" s="117" t="s">
        <v>14</v>
      </c>
      <c r="C349" s="117" t="s">
        <v>178</v>
      </c>
      <c r="D349" s="178">
        <f>D350</f>
        <v>10</v>
      </c>
      <c r="H349" s="316"/>
    </row>
    <row r="350" spans="1:8" s="1" customFormat="1" ht="12.75">
      <c r="A350" s="50" t="s">
        <v>191</v>
      </c>
      <c r="B350" s="117" t="s">
        <v>14</v>
      </c>
      <c r="C350" s="117" t="s">
        <v>192</v>
      </c>
      <c r="D350" s="178">
        <v>10</v>
      </c>
      <c r="H350" s="316"/>
    </row>
    <row r="351" spans="1:8" s="1" customFormat="1" ht="12.75">
      <c r="A351" s="46" t="s">
        <v>90</v>
      </c>
      <c r="B351" s="117" t="s">
        <v>14</v>
      </c>
      <c r="C351" s="117" t="s">
        <v>87</v>
      </c>
      <c r="D351" s="178">
        <f>D352</f>
        <v>300</v>
      </c>
      <c r="H351" s="316"/>
    </row>
    <row r="352" spans="1:8" s="1" customFormat="1" ht="25.5">
      <c r="A352" s="46" t="s">
        <v>228</v>
      </c>
      <c r="B352" s="117" t="s">
        <v>14</v>
      </c>
      <c r="C352" s="117" t="s">
        <v>88</v>
      </c>
      <c r="D352" s="178">
        <v>300</v>
      </c>
      <c r="H352" s="316"/>
    </row>
    <row r="353" spans="1:8" s="1" customFormat="1" ht="12.75">
      <c r="A353" s="46" t="s">
        <v>122</v>
      </c>
      <c r="B353" s="117" t="s">
        <v>277</v>
      </c>
      <c r="C353" s="117"/>
      <c r="D353" s="178">
        <f>D354</f>
        <v>35</v>
      </c>
      <c r="H353" s="316"/>
    </row>
    <row r="354" spans="1:8" s="1" customFormat="1" ht="12.75">
      <c r="A354" s="60" t="s">
        <v>226</v>
      </c>
      <c r="B354" s="117" t="s">
        <v>277</v>
      </c>
      <c r="C354" s="117" t="s">
        <v>188</v>
      </c>
      <c r="D354" s="178">
        <f>D355</f>
        <v>35</v>
      </c>
      <c r="H354" s="316"/>
    </row>
    <row r="355" spans="1:8" s="1" customFormat="1" ht="12.75">
      <c r="A355" s="60" t="s">
        <v>189</v>
      </c>
      <c r="B355" s="117" t="s">
        <v>277</v>
      </c>
      <c r="C355" s="117" t="s">
        <v>187</v>
      </c>
      <c r="D355" s="178">
        <v>35</v>
      </c>
      <c r="H355" s="316"/>
    </row>
    <row r="356" spans="1:8" s="1" customFormat="1" ht="25.5">
      <c r="A356" s="46" t="s">
        <v>501</v>
      </c>
      <c r="B356" s="117" t="s">
        <v>500</v>
      </c>
      <c r="C356" s="117"/>
      <c r="D356" s="178">
        <f>D357</f>
        <v>150</v>
      </c>
      <c r="H356" s="316"/>
    </row>
    <row r="357" spans="1:8" s="1" customFormat="1" ht="12.75">
      <c r="A357" s="46" t="s">
        <v>90</v>
      </c>
      <c r="B357" s="117" t="s">
        <v>500</v>
      </c>
      <c r="C357" s="117" t="s">
        <v>87</v>
      </c>
      <c r="D357" s="178">
        <f>D358</f>
        <v>150</v>
      </c>
      <c r="H357" s="316"/>
    </row>
    <row r="358" spans="1:8" s="1" customFormat="1" ht="25.5">
      <c r="A358" s="46" t="s">
        <v>228</v>
      </c>
      <c r="B358" s="117" t="s">
        <v>500</v>
      </c>
      <c r="C358" s="117" t="s">
        <v>88</v>
      </c>
      <c r="D358" s="178">
        <v>150</v>
      </c>
      <c r="H358" s="316"/>
    </row>
    <row r="359" spans="1:8" s="1" customFormat="1" ht="12.75">
      <c r="A359" s="131" t="s">
        <v>479</v>
      </c>
      <c r="B359" s="127" t="s">
        <v>74</v>
      </c>
      <c r="C359" s="127"/>
      <c r="D359" s="177">
        <f>D360+D406+D421</f>
        <v>202241.82800000004</v>
      </c>
      <c r="H359" s="316"/>
    </row>
    <row r="360" spans="1:8" s="1" customFormat="1" ht="12.75">
      <c r="A360" s="118" t="s">
        <v>480</v>
      </c>
      <c r="B360" s="116" t="s">
        <v>75</v>
      </c>
      <c r="C360" s="117"/>
      <c r="D360" s="184">
        <f>D361+D364+D367+D370+D373+D376+D379+D382+D385+D388+D391+D394+D397+D400+D403</f>
        <v>147196.84300000002</v>
      </c>
      <c r="H360" s="316"/>
    </row>
    <row r="361" spans="1:8" s="1" customFormat="1" ht="12.75">
      <c r="A361" s="90" t="s">
        <v>292</v>
      </c>
      <c r="B361" s="117" t="s">
        <v>223</v>
      </c>
      <c r="C361" s="117"/>
      <c r="D361" s="178">
        <f>D362</f>
        <v>112073.4</v>
      </c>
      <c r="H361" s="316"/>
    </row>
    <row r="362" spans="1:8" s="1" customFormat="1" ht="25.5">
      <c r="A362" s="63" t="s">
        <v>190</v>
      </c>
      <c r="B362" s="117" t="s">
        <v>223</v>
      </c>
      <c r="C362" s="117" t="s">
        <v>178</v>
      </c>
      <c r="D362" s="183">
        <f>D363</f>
        <v>112073.4</v>
      </c>
      <c r="H362" s="316"/>
    </row>
    <row r="363" spans="1:8" s="1" customFormat="1" ht="12.75">
      <c r="A363" s="50" t="s">
        <v>191</v>
      </c>
      <c r="B363" s="117" t="s">
        <v>223</v>
      </c>
      <c r="C363" s="117" t="s">
        <v>192</v>
      </c>
      <c r="D363" s="183">
        <v>112073.4</v>
      </c>
      <c r="H363" s="316"/>
    </row>
    <row r="364" spans="1:8" s="1" customFormat="1" ht="12.75">
      <c r="A364" s="71" t="s">
        <v>216</v>
      </c>
      <c r="B364" s="117" t="s">
        <v>293</v>
      </c>
      <c r="C364" s="117"/>
      <c r="D364" s="178">
        <f>D365</f>
        <v>723.3</v>
      </c>
      <c r="H364" s="316"/>
    </row>
    <row r="365" spans="1:8" s="1" customFormat="1" ht="25.5">
      <c r="A365" s="63" t="s">
        <v>190</v>
      </c>
      <c r="B365" s="117" t="s">
        <v>293</v>
      </c>
      <c r="C365" s="117" t="s">
        <v>178</v>
      </c>
      <c r="D365" s="183">
        <f>D366</f>
        <v>723.3</v>
      </c>
      <c r="H365" s="316"/>
    </row>
    <row r="366" spans="1:8" s="1" customFormat="1" ht="12.75">
      <c r="A366" s="50" t="s">
        <v>191</v>
      </c>
      <c r="B366" s="117" t="s">
        <v>293</v>
      </c>
      <c r="C366" s="117" t="s">
        <v>192</v>
      </c>
      <c r="D366" s="183">
        <v>723.3</v>
      </c>
      <c r="H366" s="316"/>
    </row>
    <row r="367" spans="1:8" s="1" customFormat="1" ht="12.75">
      <c r="A367" s="71" t="s">
        <v>271</v>
      </c>
      <c r="B367" s="117" t="s">
        <v>294</v>
      </c>
      <c r="C367" s="117"/>
      <c r="D367" s="178">
        <f>D368</f>
        <v>310.4</v>
      </c>
      <c r="H367" s="316"/>
    </row>
    <row r="368" spans="1:8" s="1" customFormat="1" ht="25.5">
      <c r="A368" s="63" t="s">
        <v>190</v>
      </c>
      <c r="B368" s="117" t="s">
        <v>294</v>
      </c>
      <c r="C368" s="117" t="s">
        <v>178</v>
      </c>
      <c r="D368" s="183">
        <f>D369</f>
        <v>310.4</v>
      </c>
      <c r="H368" s="316"/>
    </row>
    <row r="369" spans="1:8" s="1" customFormat="1" ht="12.75">
      <c r="A369" s="50" t="s">
        <v>191</v>
      </c>
      <c r="B369" s="117" t="s">
        <v>294</v>
      </c>
      <c r="C369" s="117" t="s">
        <v>192</v>
      </c>
      <c r="D369" s="183">
        <v>310.4</v>
      </c>
      <c r="H369" s="316"/>
    </row>
    <row r="370" spans="1:8" s="1" customFormat="1" ht="25.5">
      <c r="A370" s="304" t="s">
        <v>632</v>
      </c>
      <c r="B370" s="117" t="s">
        <v>411</v>
      </c>
      <c r="C370" s="117"/>
      <c r="D370" s="183">
        <f>D371</f>
        <v>2347.6</v>
      </c>
      <c r="H370" s="316"/>
    </row>
    <row r="371" spans="1:8" s="1" customFormat="1" ht="25.5">
      <c r="A371" s="63" t="s">
        <v>190</v>
      </c>
      <c r="B371" s="117" t="s">
        <v>411</v>
      </c>
      <c r="C371" s="117" t="s">
        <v>178</v>
      </c>
      <c r="D371" s="183">
        <f>D372</f>
        <v>2347.6</v>
      </c>
      <c r="H371" s="316"/>
    </row>
    <row r="372" spans="1:8" s="1" customFormat="1" ht="12.75">
      <c r="A372" s="50" t="s">
        <v>191</v>
      </c>
      <c r="B372" s="117" t="s">
        <v>411</v>
      </c>
      <c r="C372" s="117" t="s">
        <v>192</v>
      </c>
      <c r="D372" s="183">
        <f>350+927.6+700+370</f>
        <v>2347.6</v>
      </c>
      <c r="H372" s="316"/>
    </row>
    <row r="373" spans="1:8" s="1" customFormat="1" ht="12.75">
      <c r="A373" s="87" t="s">
        <v>295</v>
      </c>
      <c r="B373" s="117" t="s">
        <v>296</v>
      </c>
      <c r="C373" s="117"/>
      <c r="D373" s="183">
        <f>D374</f>
        <v>2227.4</v>
      </c>
      <c r="H373" s="316"/>
    </row>
    <row r="374" spans="1:8" s="1" customFormat="1" ht="25.5">
      <c r="A374" s="63" t="s">
        <v>190</v>
      </c>
      <c r="B374" s="117" t="s">
        <v>296</v>
      </c>
      <c r="C374" s="117" t="s">
        <v>178</v>
      </c>
      <c r="D374" s="183">
        <f>D375</f>
        <v>2227.4</v>
      </c>
      <c r="H374" s="316"/>
    </row>
    <row r="375" spans="1:8" s="1" customFormat="1" ht="12.75">
      <c r="A375" s="50" t="s">
        <v>191</v>
      </c>
      <c r="B375" s="117" t="s">
        <v>296</v>
      </c>
      <c r="C375" s="117" t="s">
        <v>192</v>
      </c>
      <c r="D375" s="183">
        <f>727.4+1500</f>
        <v>2227.4</v>
      </c>
      <c r="H375" s="316"/>
    </row>
    <row r="376" spans="1:8" s="1" customFormat="1" ht="25.5">
      <c r="A376" s="84" t="s">
        <v>267</v>
      </c>
      <c r="B376" s="115" t="s">
        <v>621</v>
      </c>
      <c r="C376" s="115"/>
      <c r="D376" s="183">
        <f>D377</f>
        <v>62</v>
      </c>
      <c r="H376" s="316"/>
    </row>
    <row r="377" spans="1:8" s="1" customFormat="1" ht="25.5">
      <c r="A377" s="79" t="s">
        <v>190</v>
      </c>
      <c r="B377" s="115" t="s">
        <v>621</v>
      </c>
      <c r="C377" s="115" t="s">
        <v>178</v>
      </c>
      <c r="D377" s="183">
        <f>D378</f>
        <v>62</v>
      </c>
      <c r="H377" s="316"/>
    </row>
    <row r="378" spans="1:8" s="1" customFormat="1" ht="12.75">
      <c r="A378" s="83" t="s">
        <v>191</v>
      </c>
      <c r="B378" s="115" t="s">
        <v>621</v>
      </c>
      <c r="C378" s="115" t="s">
        <v>192</v>
      </c>
      <c r="D378" s="183">
        <v>62</v>
      </c>
      <c r="H378" s="316"/>
    </row>
    <row r="379" spans="1:8" s="1" customFormat="1" ht="12.75">
      <c r="A379" s="50" t="s">
        <v>268</v>
      </c>
      <c r="B379" s="117" t="s">
        <v>297</v>
      </c>
      <c r="C379" s="117"/>
      <c r="D379" s="183">
        <f>D380</f>
        <v>2704.3</v>
      </c>
      <c r="H379" s="316"/>
    </row>
    <row r="380" spans="1:8" s="1" customFormat="1" ht="25.5">
      <c r="A380" s="63" t="s">
        <v>190</v>
      </c>
      <c r="B380" s="117" t="s">
        <v>297</v>
      </c>
      <c r="C380" s="117" t="s">
        <v>178</v>
      </c>
      <c r="D380" s="183">
        <f>D381</f>
        <v>2704.3</v>
      </c>
      <c r="H380" s="316"/>
    </row>
    <row r="381" spans="1:8" s="1" customFormat="1" ht="12.75">
      <c r="A381" s="50" t="s">
        <v>191</v>
      </c>
      <c r="B381" s="117" t="s">
        <v>297</v>
      </c>
      <c r="C381" s="117" t="s">
        <v>192</v>
      </c>
      <c r="D381" s="183">
        <f>1404.3+800+500</f>
        <v>2704.3</v>
      </c>
      <c r="H381" s="316"/>
    </row>
    <row r="382" spans="1:8" s="1" customFormat="1" ht="12.75">
      <c r="A382" s="50" t="s">
        <v>335</v>
      </c>
      <c r="B382" s="117" t="s">
        <v>410</v>
      </c>
      <c r="C382" s="117"/>
      <c r="D382" s="183">
        <f>D383</f>
        <v>1034.5</v>
      </c>
      <c r="H382" s="316"/>
    </row>
    <row r="383" spans="1:8" s="1" customFormat="1" ht="25.5">
      <c r="A383" s="63" t="s">
        <v>190</v>
      </c>
      <c r="B383" s="117" t="s">
        <v>410</v>
      </c>
      <c r="C383" s="117" t="s">
        <v>178</v>
      </c>
      <c r="D383" s="183">
        <f>D384</f>
        <v>1034.5</v>
      </c>
      <c r="H383" s="316"/>
    </row>
    <row r="384" spans="1:8" s="1" customFormat="1" ht="12.75">
      <c r="A384" s="50" t="s">
        <v>191</v>
      </c>
      <c r="B384" s="117" t="s">
        <v>410</v>
      </c>
      <c r="C384" s="117" t="s">
        <v>192</v>
      </c>
      <c r="D384" s="183">
        <f>598.2+436.3</f>
        <v>1034.5</v>
      </c>
      <c r="H384" s="316"/>
    </row>
    <row r="385" spans="1:8" s="1" customFormat="1" ht="12.75">
      <c r="A385" s="50" t="s">
        <v>298</v>
      </c>
      <c r="B385" s="117" t="s">
        <v>299</v>
      </c>
      <c r="C385" s="117"/>
      <c r="D385" s="183">
        <f>D386</f>
        <v>260</v>
      </c>
      <c r="H385" s="316"/>
    </row>
    <row r="386" spans="1:8" s="1" customFormat="1" ht="25.5">
      <c r="A386" s="63" t="s">
        <v>190</v>
      </c>
      <c r="B386" s="117" t="s">
        <v>299</v>
      </c>
      <c r="C386" s="117" t="s">
        <v>178</v>
      </c>
      <c r="D386" s="183">
        <f>D387</f>
        <v>260</v>
      </c>
      <c r="H386" s="316"/>
    </row>
    <row r="387" spans="1:8" s="1" customFormat="1" ht="12.75">
      <c r="A387" s="50" t="s">
        <v>191</v>
      </c>
      <c r="B387" s="117" t="s">
        <v>299</v>
      </c>
      <c r="C387" s="117" t="s">
        <v>192</v>
      </c>
      <c r="D387" s="183">
        <v>260</v>
      </c>
      <c r="H387" s="316"/>
    </row>
    <row r="388" spans="1:8" s="1" customFormat="1" ht="25.5">
      <c r="A388" s="50" t="s">
        <v>481</v>
      </c>
      <c r="B388" s="117" t="s">
        <v>482</v>
      </c>
      <c r="C388" s="120"/>
      <c r="D388" s="178">
        <f>D389</f>
        <v>10066.4</v>
      </c>
      <c r="H388" s="316"/>
    </row>
    <row r="389" spans="1:8" s="1" customFormat="1" ht="25.5">
      <c r="A389" s="50" t="s">
        <v>190</v>
      </c>
      <c r="B389" s="117" t="s">
        <v>482</v>
      </c>
      <c r="C389" s="120" t="s">
        <v>178</v>
      </c>
      <c r="D389" s="178">
        <f>D390</f>
        <v>10066.4</v>
      </c>
      <c r="H389" s="316"/>
    </row>
    <row r="390" spans="1:8" s="1" customFormat="1" ht="12.75">
      <c r="A390" s="50" t="s">
        <v>191</v>
      </c>
      <c r="B390" s="117" t="s">
        <v>482</v>
      </c>
      <c r="C390" s="120" t="s">
        <v>192</v>
      </c>
      <c r="D390" s="178">
        <f>8498.6+2316.2-128.4-620</f>
        <v>10066.4</v>
      </c>
      <c r="H390" s="316"/>
    </row>
    <row r="391" spans="1:8" s="1" customFormat="1" ht="12.75">
      <c r="A391" s="84" t="s">
        <v>398</v>
      </c>
      <c r="B391" s="117" t="s">
        <v>397</v>
      </c>
      <c r="C391" s="119"/>
      <c r="D391" s="178">
        <f>D392</f>
        <v>14872.7</v>
      </c>
      <c r="H391" s="316"/>
    </row>
    <row r="392" spans="1:8" s="1" customFormat="1" ht="25.5">
      <c r="A392" s="63" t="s">
        <v>190</v>
      </c>
      <c r="B392" s="117" t="s">
        <v>397</v>
      </c>
      <c r="C392" s="117" t="s">
        <v>178</v>
      </c>
      <c r="D392" s="178">
        <f>D393</f>
        <v>14872.7</v>
      </c>
      <c r="H392" s="316"/>
    </row>
    <row r="393" spans="1:8" s="1" customFormat="1" ht="12.75">
      <c r="A393" s="87" t="s">
        <v>191</v>
      </c>
      <c r="B393" s="117" t="s">
        <v>397</v>
      </c>
      <c r="C393" s="117" t="s">
        <v>192</v>
      </c>
      <c r="D393" s="178">
        <v>14872.7</v>
      </c>
      <c r="H393" s="316"/>
    </row>
    <row r="394" spans="1:8" s="1" customFormat="1" ht="25.5">
      <c r="A394" s="84" t="s">
        <v>483</v>
      </c>
      <c r="B394" s="117" t="s">
        <v>399</v>
      </c>
      <c r="C394" s="119"/>
      <c r="D394" s="178">
        <f>D395</f>
        <v>192.1</v>
      </c>
      <c r="H394" s="316"/>
    </row>
    <row r="395" spans="1:8" s="1" customFormat="1" ht="25.5">
      <c r="A395" s="63" t="s">
        <v>190</v>
      </c>
      <c r="B395" s="117" t="s">
        <v>399</v>
      </c>
      <c r="C395" s="117" t="s">
        <v>178</v>
      </c>
      <c r="D395" s="178">
        <f>D396</f>
        <v>192.1</v>
      </c>
      <c r="H395" s="316"/>
    </row>
    <row r="396" spans="1:8" s="1" customFormat="1" ht="12.75">
      <c r="A396" s="50" t="s">
        <v>191</v>
      </c>
      <c r="B396" s="117" t="s">
        <v>399</v>
      </c>
      <c r="C396" s="117" t="s">
        <v>192</v>
      </c>
      <c r="D396" s="178">
        <v>192.1</v>
      </c>
      <c r="H396" s="316"/>
    </row>
    <row r="397" spans="1:8" s="1" customFormat="1" ht="16.5" customHeight="1">
      <c r="A397" s="84" t="s">
        <v>485</v>
      </c>
      <c r="B397" s="117" t="s">
        <v>484</v>
      </c>
      <c r="C397" s="119"/>
      <c r="D397" s="178">
        <f>D398</f>
        <v>139.543</v>
      </c>
      <c r="H397" s="316"/>
    </row>
    <row r="398" spans="1:8" s="4" customFormat="1" ht="25.5">
      <c r="A398" s="63" t="s">
        <v>190</v>
      </c>
      <c r="B398" s="117" t="s">
        <v>484</v>
      </c>
      <c r="C398" s="117" t="s">
        <v>178</v>
      </c>
      <c r="D398" s="178">
        <f>D399</f>
        <v>139.543</v>
      </c>
      <c r="H398" s="317"/>
    </row>
    <row r="399" spans="1:8" s="4" customFormat="1" ht="12.75">
      <c r="A399" s="50" t="s">
        <v>191</v>
      </c>
      <c r="B399" s="117" t="s">
        <v>484</v>
      </c>
      <c r="C399" s="117" t="s">
        <v>192</v>
      </c>
      <c r="D399" s="178">
        <v>139.543</v>
      </c>
      <c r="H399" s="317"/>
    </row>
    <row r="400" spans="1:8" s="4" customFormat="1" ht="12.75">
      <c r="A400" s="84" t="s">
        <v>590</v>
      </c>
      <c r="B400" s="117" t="s">
        <v>589</v>
      </c>
      <c r="C400" s="119"/>
      <c r="D400" s="178">
        <f>D401</f>
        <v>61.1</v>
      </c>
      <c r="H400" s="317"/>
    </row>
    <row r="401" spans="1:8" s="4" customFormat="1" ht="25.5">
      <c r="A401" s="63" t="s">
        <v>190</v>
      </c>
      <c r="B401" s="117" t="s">
        <v>589</v>
      </c>
      <c r="C401" s="117" t="s">
        <v>178</v>
      </c>
      <c r="D401" s="178">
        <f>D402</f>
        <v>61.1</v>
      </c>
      <c r="H401" s="317"/>
    </row>
    <row r="402" spans="1:8" s="4" customFormat="1" ht="12.75">
      <c r="A402" s="50" t="s">
        <v>191</v>
      </c>
      <c r="B402" s="117" t="s">
        <v>589</v>
      </c>
      <c r="C402" s="117" t="s">
        <v>192</v>
      </c>
      <c r="D402" s="178">
        <f>5+55.6+0.5</f>
        <v>61.1</v>
      </c>
      <c r="H402" s="317"/>
    </row>
    <row r="403" spans="1:8" s="1" customFormat="1" ht="12.75">
      <c r="A403" s="84" t="s">
        <v>587</v>
      </c>
      <c r="B403" s="117" t="s">
        <v>588</v>
      </c>
      <c r="C403" s="119"/>
      <c r="D403" s="178">
        <f>D404</f>
        <v>122.1</v>
      </c>
      <c r="H403" s="316"/>
    </row>
    <row r="404" spans="1:8" s="1" customFormat="1" ht="25.5">
      <c r="A404" s="63" t="s">
        <v>190</v>
      </c>
      <c r="B404" s="117" t="s">
        <v>588</v>
      </c>
      <c r="C404" s="117" t="s">
        <v>178</v>
      </c>
      <c r="D404" s="178">
        <f>D405</f>
        <v>122.1</v>
      </c>
      <c r="H404" s="316"/>
    </row>
    <row r="405" spans="1:8" s="1" customFormat="1" ht="12.75">
      <c r="A405" s="50" t="s">
        <v>191</v>
      </c>
      <c r="B405" s="117" t="s">
        <v>588</v>
      </c>
      <c r="C405" s="117" t="s">
        <v>192</v>
      </c>
      <c r="D405" s="178">
        <f>10+111.1+1</f>
        <v>122.1</v>
      </c>
      <c r="H405" s="316"/>
    </row>
    <row r="406" spans="1:8" s="1" customFormat="1" ht="12.75">
      <c r="A406" s="53" t="s">
        <v>537</v>
      </c>
      <c r="B406" s="116" t="s">
        <v>224</v>
      </c>
      <c r="C406" s="116"/>
      <c r="D406" s="182">
        <f>D407+D415+D418+D412</f>
        <v>2070</v>
      </c>
      <c r="H406" s="316"/>
    </row>
    <row r="407" spans="1:8" s="3" customFormat="1" ht="12.75">
      <c r="A407" s="74" t="s">
        <v>97</v>
      </c>
      <c r="B407" s="117" t="s">
        <v>221</v>
      </c>
      <c r="C407" s="117"/>
      <c r="D407" s="183">
        <f>D410+D408</f>
        <v>1070</v>
      </c>
      <c r="H407" s="318"/>
    </row>
    <row r="408" spans="1:8" s="1" customFormat="1" ht="12.75">
      <c r="A408" s="60" t="s">
        <v>226</v>
      </c>
      <c r="B408" s="117" t="s">
        <v>221</v>
      </c>
      <c r="C408" s="117" t="s">
        <v>188</v>
      </c>
      <c r="D408" s="183">
        <f>D409</f>
        <v>50</v>
      </c>
      <c r="H408" s="316"/>
    </row>
    <row r="409" spans="1:8" s="15" customFormat="1" ht="12.75">
      <c r="A409" s="60" t="s">
        <v>189</v>
      </c>
      <c r="B409" s="117" t="s">
        <v>221</v>
      </c>
      <c r="C409" s="117" t="s">
        <v>187</v>
      </c>
      <c r="D409" s="183">
        <v>50</v>
      </c>
      <c r="E409" s="1"/>
      <c r="H409" s="321"/>
    </row>
    <row r="410" spans="1:8" s="15" customFormat="1" ht="25.5">
      <c r="A410" s="63" t="s">
        <v>190</v>
      </c>
      <c r="B410" s="117" t="s">
        <v>221</v>
      </c>
      <c r="C410" s="117" t="s">
        <v>178</v>
      </c>
      <c r="D410" s="183">
        <f>D411</f>
        <v>1020</v>
      </c>
      <c r="E410" s="1"/>
      <c r="H410" s="321"/>
    </row>
    <row r="411" spans="1:8" s="15" customFormat="1" ht="12.75">
      <c r="A411" s="50" t="s">
        <v>191</v>
      </c>
      <c r="B411" s="117" t="s">
        <v>221</v>
      </c>
      <c r="C411" s="117" t="s">
        <v>192</v>
      </c>
      <c r="D411" s="183">
        <f>1020</f>
        <v>1020</v>
      </c>
      <c r="E411" s="1"/>
      <c r="H411" s="321"/>
    </row>
    <row r="412" spans="1:8" s="15" customFormat="1" ht="12.75">
      <c r="A412" s="87" t="s">
        <v>670</v>
      </c>
      <c r="B412" s="117" t="s">
        <v>669</v>
      </c>
      <c r="C412" s="117"/>
      <c r="D412" s="183">
        <f>D413</f>
        <v>500</v>
      </c>
      <c r="E412" s="1"/>
      <c r="H412" s="321"/>
    </row>
    <row r="413" spans="1:8" s="1" customFormat="1" ht="25.5">
      <c r="A413" s="63" t="s">
        <v>190</v>
      </c>
      <c r="B413" s="117" t="s">
        <v>669</v>
      </c>
      <c r="C413" s="117" t="s">
        <v>178</v>
      </c>
      <c r="D413" s="183">
        <f>D414</f>
        <v>500</v>
      </c>
      <c r="H413" s="316"/>
    </row>
    <row r="414" spans="1:8" s="1" customFormat="1" ht="12.75">
      <c r="A414" s="50" t="s">
        <v>191</v>
      </c>
      <c r="B414" s="117" t="s">
        <v>669</v>
      </c>
      <c r="C414" s="117" t="s">
        <v>192</v>
      </c>
      <c r="D414" s="183">
        <v>500</v>
      </c>
      <c r="H414" s="316"/>
    </row>
    <row r="415" spans="1:8" s="3" customFormat="1" ht="12.75">
      <c r="A415" s="87" t="s">
        <v>503</v>
      </c>
      <c r="B415" s="117" t="s">
        <v>502</v>
      </c>
      <c r="C415" s="117"/>
      <c r="D415" s="183">
        <f>D416</f>
        <v>100</v>
      </c>
      <c r="H415" s="318"/>
    </row>
    <row r="416" spans="1:8" s="1" customFormat="1" ht="25.5">
      <c r="A416" s="63" t="s">
        <v>190</v>
      </c>
      <c r="B416" s="117" t="s">
        <v>502</v>
      </c>
      <c r="C416" s="117" t="s">
        <v>178</v>
      </c>
      <c r="D416" s="183">
        <f>D417</f>
        <v>100</v>
      </c>
      <c r="H416" s="316"/>
    </row>
    <row r="417" spans="1:8" s="1" customFormat="1" ht="12.75">
      <c r="A417" s="50" t="s">
        <v>191</v>
      </c>
      <c r="B417" s="117" t="s">
        <v>502</v>
      </c>
      <c r="C417" s="117" t="s">
        <v>192</v>
      </c>
      <c r="D417" s="183">
        <v>100</v>
      </c>
      <c r="H417" s="316"/>
    </row>
    <row r="418" spans="1:8" s="3" customFormat="1" ht="25.5">
      <c r="A418" s="140" t="s">
        <v>393</v>
      </c>
      <c r="B418" s="115" t="s">
        <v>394</v>
      </c>
      <c r="C418" s="117"/>
      <c r="D418" s="183">
        <f>D419</f>
        <v>400</v>
      </c>
      <c r="H418" s="318"/>
    </row>
    <row r="419" spans="1:8" s="3" customFormat="1" ht="25.5">
      <c r="A419" s="79" t="s">
        <v>190</v>
      </c>
      <c r="B419" s="115" t="s">
        <v>394</v>
      </c>
      <c r="C419" s="117" t="s">
        <v>178</v>
      </c>
      <c r="D419" s="183">
        <f>D420</f>
        <v>400</v>
      </c>
      <c r="H419" s="318"/>
    </row>
    <row r="420" spans="1:8" s="3" customFormat="1" ht="12.75">
      <c r="A420" s="83" t="s">
        <v>191</v>
      </c>
      <c r="B420" s="115" t="s">
        <v>394</v>
      </c>
      <c r="C420" s="117" t="s">
        <v>192</v>
      </c>
      <c r="D420" s="183">
        <v>400</v>
      </c>
      <c r="H420" s="318"/>
    </row>
    <row r="421" spans="1:8" s="3" customFormat="1" ht="25.5">
      <c r="A421" s="44" t="s">
        <v>427</v>
      </c>
      <c r="B421" s="116" t="s">
        <v>300</v>
      </c>
      <c r="C421" s="116"/>
      <c r="D421" s="184">
        <f>D422+D425+D428+D431+D434+D437+D440+D443+D446+D449</f>
        <v>52974.985</v>
      </c>
      <c r="H421" s="318"/>
    </row>
    <row r="422" spans="1:8" s="3" customFormat="1" ht="12.75">
      <c r="A422" s="141" t="s">
        <v>104</v>
      </c>
      <c r="B422" s="117" t="s">
        <v>301</v>
      </c>
      <c r="C422" s="117"/>
      <c r="D422" s="178">
        <f>D423</f>
        <v>45030.4</v>
      </c>
      <c r="H422" s="318"/>
    </row>
    <row r="423" spans="1:8" s="3" customFormat="1" ht="25.5">
      <c r="A423" s="63" t="s">
        <v>190</v>
      </c>
      <c r="B423" s="117" t="s">
        <v>301</v>
      </c>
      <c r="C423" s="117" t="s">
        <v>178</v>
      </c>
      <c r="D423" s="178">
        <f>D424</f>
        <v>45030.4</v>
      </c>
      <c r="H423" s="318"/>
    </row>
    <row r="424" spans="1:8" s="3" customFormat="1" ht="12.75">
      <c r="A424" s="50" t="s">
        <v>191</v>
      </c>
      <c r="B424" s="117" t="s">
        <v>301</v>
      </c>
      <c r="C424" s="117" t="s">
        <v>192</v>
      </c>
      <c r="D424" s="178">
        <v>45030.4</v>
      </c>
      <c r="H424" s="318"/>
    </row>
    <row r="425" spans="1:8" s="1" customFormat="1" ht="12.75">
      <c r="A425" s="71" t="s">
        <v>216</v>
      </c>
      <c r="B425" s="117" t="s">
        <v>302</v>
      </c>
      <c r="C425" s="117"/>
      <c r="D425" s="178">
        <f>D426</f>
        <v>228.6</v>
      </c>
      <c r="H425" s="316"/>
    </row>
    <row r="426" spans="1:8" s="1" customFormat="1" ht="25.5">
      <c r="A426" s="63" t="s">
        <v>190</v>
      </c>
      <c r="B426" s="117" t="s">
        <v>302</v>
      </c>
      <c r="C426" s="117" t="s">
        <v>178</v>
      </c>
      <c r="D426" s="178">
        <f>D427</f>
        <v>228.6</v>
      </c>
      <c r="H426" s="316"/>
    </row>
    <row r="427" spans="1:8" s="3" customFormat="1" ht="12.75">
      <c r="A427" s="50" t="s">
        <v>191</v>
      </c>
      <c r="B427" s="117" t="s">
        <v>302</v>
      </c>
      <c r="C427" s="117" t="s">
        <v>192</v>
      </c>
      <c r="D427" s="178">
        <v>228.6</v>
      </c>
      <c r="H427" s="318"/>
    </row>
    <row r="428" spans="1:8" s="1" customFormat="1" ht="12.75">
      <c r="A428" s="147" t="s">
        <v>105</v>
      </c>
      <c r="B428" s="117" t="s">
        <v>303</v>
      </c>
      <c r="C428" s="117"/>
      <c r="D428" s="178">
        <f>D429</f>
        <v>530</v>
      </c>
      <c r="H428" s="316"/>
    </row>
    <row r="429" spans="1:8" s="1" customFormat="1" ht="25.5">
      <c r="A429" s="63" t="s">
        <v>190</v>
      </c>
      <c r="B429" s="117" t="s">
        <v>303</v>
      </c>
      <c r="C429" s="117" t="s">
        <v>178</v>
      </c>
      <c r="D429" s="178">
        <f>D430</f>
        <v>530</v>
      </c>
      <c r="H429" s="316"/>
    </row>
    <row r="430" spans="1:8" s="1" customFormat="1" ht="12.75">
      <c r="A430" s="50" t="s">
        <v>191</v>
      </c>
      <c r="B430" s="117" t="s">
        <v>303</v>
      </c>
      <c r="C430" s="117" t="s">
        <v>192</v>
      </c>
      <c r="D430" s="178">
        <v>530</v>
      </c>
      <c r="H430" s="316"/>
    </row>
    <row r="431" spans="1:8" s="1" customFormat="1" ht="12.75">
      <c r="A431" s="71" t="s">
        <v>266</v>
      </c>
      <c r="B431" s="117" t="s">
        <v>306</v>
      </c>
      <c r="C431" s="117"/>
      <c r="D431" s="178">
        <f>D432</f>
        <v>148</v>
      </c>
      <c r="H431" s="316"/>
    </row>
    <row r="432" spans="1:8" s="1" customFormat="1" ht="25.5">
      <c r="A432" s="63" t="s">
        <v>190</v>
      </c>
      <c r="B432" s="117" t="s">
        <v>306</v>
      </c>
      <c r="C432" s="117" t="s">
        <v>178</v>
      </c>
      <c r="D432" s="178">
        <f>D433</f>
        <v>148</v>
      </c>
      <c r="H432" s="316"/>
    </row>
    <row r="433" spans="1:8" s="1" customFormat="1" ht="12.75">
      <c r="A433" s="50" t="s">
        <v>191</v>
      </c>
      <c r="B433" s="117" t="s">
        <v>306</v>
      </c>
      <c r="C433" s="117" t="s">
        <v>192</v>
      </c>
      <c r="D433" s="178">
        <v>148</v>
      </c>
      <c r="H433" s="316"/>
    </row>
    <row r="434" spans="1:8" s="1" customFormat="1" ht="12.75">
      <c r="A434" s="71" t="s">
        <v>268</v>
      </c>
      <c r="B434" s="117" t="s">
        <v>304</v>
      </c>
      <c r="C434" s="117"/>
      <c r="D434" s="178">
        <f>D435</f>
        <v>554</v>
      </c>
      <c r="H434" s="316"/>
    </row>
    <row r="435" spans="1:8" s="1" customFormat="1" ht="25.5">
      <c r="A435" s="63" t="s">
        <v>190</v>
      </c>
      <c r="B435" s="117" t="s">
        <v>304</v>
      </c>
      <c r="C435" s="117" t="s">
        <v>178</v>
      </c>
      <c r="D435" s="178">
        <f>D436</f>
        <v>554</v>
      </c>
      <c r="H435" s="316"/>
    </row>
    <row r="436" spans="1:8" s="1" customFormat="1" ht="12.75">
      <c r="A436" s="50" t="s">
        <v>191</v>
      </c>
      <c r="B436" s="117" t="s">
        <v>304</v>
      </c>
      <c r="C436" s="117" t="s">
        <v>192</v>
      </c>
      <c r="D436" s="178">
        <v>554</v>
      </c>
      <c r="H436" s="316"/>
    </row>
    <row r="437" spans="1:8" s="1" customFormat="1" ht="12.75">
      <c r="A437" s="71" t="s">
        <v>269</v>
      </c>
      <c r="B437" s="117" t="s">
        <v>305</v>
      </c>
      <c r="C437" s="117"/>
      <c r="D437" s="178">
        <f>D438</f>
        <v>120.9</v>
      </c>
      <c r="H437" s="316"/>
    </row>
    <row r="438" spans="1:8" s="1" customFormat="1" ht="25.5">
      <c r="A438" s="63" t="s">
        <v>190</v>
      </c>
      <c r="B438" s="117" t="s">
        <v>305</v>
      </c>
      <c r="C438" s="117" t="s">
        <v>178</v>
      </c>
      <c r="D438" s="178">
        <f>D439</f>
        <v>120.9</v>
      </c>
      <c r="H438" s="316"/>
    </row>
    <row r="439" spans="1:8" s="1" customFormat="1" ht="12.75">
      <c r="A439" s="50" t="s">
        <v>191</v>
      </c>
      <c r="B439" s="117" t="s">
        <v>305</v>
      </c>
      <c r="C439" s="117" t="s">
        <v>192</v>
      </c>
      <c r="D439" s="178">
        <v>120.9</v>
      </c>
      <c r="H439" s="316"/>
    </row>
    <row r="440" spans="1:8" s="1" customFormat="1" ht="25.5">
      <c r="A440" s="50" t="s">
        <v>559</v>
      </c>
      <c r="B440" s="117" t="s">
        <v>560</v>
      </c>
      <c r="C440" s="117"/>
      <c r="D440" s="178">
        <f>D441</f>
        <v>100</v>
      </c>
      <c r="H440" s="316"/>
    </row>
    <row r="441" spans="1:8" s="1" customFormat="1" ht="25.5">
      <c r="A441" s="63" t="s">
        <v>190</v>
      </c>
      <c r="B441" s="117" t="s">
        <v>560</v>
      </c>
      <c r="C441" s="117" t="s">
        <v>178</v>
      </c>
      <c r="D441" s="178">
        <f>D442</f>
        <v>100</v>
      </c>
      <c r="H441" s="316"/>
    </row>
    <row r="442" spans="1:8" s="1" customFormat="1" ht="29.25" customHeight="1">
      <c r="A442" s="50" t="s">
        <v>191</v>
      </c>
      <c r="B442" s="117" t="s">
        <v>560</v>
      </c>
      <c r="C442" s="117" t="s">
        <v>192</v>
      </c>
      <c r="D442" s="178">
        <v>100</v>
      </c>
      <c r="H442" s="316"/>
    </row>
    <row r="443" spans="1:8" s="1" customFormat="1" ht="12.75">
      <c r="A443" s="50" t="s">
        <v>561</v>
      </c>
      <c r="B443" s="117" t="s">
        <v>562</v>
      </c>
      <c r="C443" s="117"/>
      <c r="D443" s="178">
        <f>D444</f>
        <v>222.5</v>
      </c>
      <c r="H443" s="316"/>
    </row>
    <row r="444" spans="1:8" s="1" customFormat="1" ht="25.5">
      <c r="A444" s="63" t="s">
        <v>190</v>
      </c>
      <c r="B444" s="117" t="s">
        <v>562</v>
      </c>
      <c r="C444" s="117" t="s">
        <v>178</v>
      </c>
      <c r="D444" s="178">
        <f>D445</f>
        <v>222.5</v>
      </c>
      <c r="H444" s="316"/>
    </row>
    <row r="445" spans="1:8" s="1" customFormat="1" ht="12.75">
      <c r="A445" s="50" t="s">
        <v>191</v>
      </c>
      <c r="B445" s="117" t="s">
        <v>562</v>
      </c>
      <c r="C445" s="117" t="s">
        <v>192</v>
      </c>
      <c r="D445" s="178">
        <v>222.5</v>
      </c>
      <c r="H445" s="316"/>
    </row>
    <row r="446" spans="1:8" s="1" customFormat="1" ht="51">
      <c r="A446" s="71" t="s">
        <v>365</v>
      </c>
      <c r="B446" s="117" t="s">
        <v>364</v>
      </c>
      <c r="C446" s="117"/>
      <c r="D446" s="178">
        <f>D447</f>
        <v>5900.585</v>
      </c>
      <c r="H446" s="316"/>
    </row>
    <row r="447" spans="1:8" s="1" customFormat="1" ht="25.5">
      <c r="A447" s="63" t="s">
        <v>190</v>
      </c>
      <c r="B447" s="117" t="s">
        <v>364</v>
      </c>
      <c r="C447" s="117" t="s">
        <v>178</v>
      </c>
      <c r="D447" s="178">
        <f>D448</f>
        <v>5900.585</v>
      </c>
      <c r="H447" s="316"/>
    </row>
    <row r="448" spans="1:8" s="1" customFormat="1" ht="12.75">
      <c r="A448" s="50" t="s">
        <v>191</v>
      </c>
      <c r="B448" s="117" t="s">
        <v>364</v>
      </c>
      <c r="C448" s="117" t="s">
        <v>192</v>
      </c>
      <c r="D448" s="178">
        <v>5900.585</v>
      </c>
      <c r="H448" s="316"/>
    </row>
    <row r="449" spans="1:8" s="1" customFormat="1" ht="51">
      <c r="A449" s="85" t="s">
        <v>249</v>
      </c>
      <c r="B449" s="115" t="s">
        <v>307</v>
      </c>
      <c r="C449" s="115"/>
      <c r="D449" s="183">
        <f>D450</f>
        <v>140</v>
      </c>
      <c r="H449" s="316"/>
    </row>
    <row r="450" spans="1:8" s="1" customFormat="1" ht="25.5">
      <c r="A450" s="79" t="s">
        <v>190</v>
      </c>
      <c r="B450" s="115" t="s">
        <v>307</v>
      </c>
      <c r="C450" s="115" t="s">
        <v>178</v>
      </c>
      <c r="D450" s="183">
        <f>D451</f>
        <v>140</v>
      </c>
      <c r="H450" s="316"/>
    </row>
    <row r="451" spans="1:8" s="1" customFormat="1" ht="12.75">
      <c r="A451" s="83" t="s">
        <v>191</v>
      </c>
      <c r="B451" s="115" t="s">
        <v>307</v>
      </c>
      <c r="C451" s="115" t="s">
        <v>192</v>
      </c>
      <c r="D451" s="183">
        <f>150-10</f>
        <v>140</v>
      </c>
      <c r="H451" s="316"/>
    </row>
    <row r="452" spans="1:8" s="1" customFormat="1" ht="12.75">
      <c r="A452" s="128" t="s">
        <v>550</v>
      </c>
      <c r="B452" s="127" t="s">
        <v>337</v>
      </c>
      <c r="C452" s="127"/>
      <c r="D452" s="177">
        <f>D453+D461+D464+D467</f>
        <v>2267</v>
      </c>
      <c r="H452" s="316"/>
    </row>
    <row r="453" spans="1:8" s="1" customFormat="1" ht="12.75">
      <c r="A453" s="141" t="s">
        <v>98</v>
      </c>
      <c r="B453" s="117" t="s">
        <v>352</v>
      </c>
      <c r="C453" s="117"/>
      <c r="D453" s="178">
        <f>D454+D456+D458</f>
        <v>1537</v>
      </c>
      <c r="H453" s="316"/>
    </row>
    <row r="454" spans="1:8" s="1" customFormat="1" ht="38.25">
      <c r="A454" s="60" t="s">
        <v>116</v>
      </c>
      <c r="B454" s="117" t="s">
        <v>352</v>
      </c>
      <c r="C454" s="117" t="s">
        <v>198</v>
      </c>
      <c r="D454" s="178">
        <f>D455</f>
        <v>140</v>
      </c>
      <c r="H454" s="316"/>
    </row>
    <row r="455" spans="1:8" s="1" customFormat="1" ht="12.75">
      <c r="A455" s="63" t="s">
        <v>193</v>
      </c>
      <c r="B455" s="117" t="s">
        <v>352</v>
      </c>
      <c r="C455" s="117" t="s">
        <v>194</v>
      </c>
      <c r="D455" s="178">
        <v>140</v>
      </c>
      <c r="H455" s="316"/>
    </row>
    <row r="456" spans="1:8" s="1" customFormat="1" ht="12.75">
      <c r="A456" s="60" t="s">
        <v>226</v>
      </c>
      <c r="B456" s="117" t="s">
        <v>352</v>
      </c>
      <c r="C456" s="117" t="s">
        <v>188</v>
      </c>
      <c r="D456" s="178">
        <f>D457</f>
        <v>523</v>
      </c>
      <c r="H456" s="316"/>
    </row>
    <row r="457" spans="1:8" s="1" customFormat="1" ht="12.75">
      <c r="A457" s="60" t="s">
        <v>189</v>
      </c>
      <c r="B457" s="117" t="s">
        <v>352</v>
      </c>
      <c r="C457" s="117" t="s">
        <v>187</v>
      </c>
      <c r="D457" s="178">
        <f>263+500-240</f>
        <v>523</v>
      </c>
      <c r="H457" s="316"/>
    </row>
    <row r="458" spans="1:8" s="1" customFormat="1" ht="25.5">
      <c r="A458" s="63" t="s">
        <v>190</v>
      </c>
      <c r="B458" s="117" t="s">
        <v>352</v>
      </c>
      <c r="C458" s="117" t="s">
        <v>178</v>
      </c>
      <c r="D458" s="178">
        <f>D459+D460</f>
        <v>874</v>
      </c>
      <c r="H458" s="316"/>
    </row>
    <row r="459" spans="1:8" s="1" customFormat="1" ht="12.75">
      <c r="A459" s="50" t="s">
        <v>191</v>
      </c>
      <c r="B459" s="117" t="s">
        <v>352</v>
      </c>
      <c r="C459" s="117" t="s">
        <v>192</v>
      </c>
      <c r="D459" s="178">
        <f>384</f>
        <v>384</v>
      </c>
      <c r="H459" s="316"/>
    </row>
    <row r="460" spans="1:8" s="1" customFormat="1" ht="12.75">
      <c r="A460" s="50" t="s">
        <v>195</v>
      </c>
      <c r="B460" s="117" t="s">
        <v>352</v>
      </c>
      <c r="C460" s="117" t="s">
        <v>196</v>
      </c>
      <c r="D460" s="178">
        <v>490</v>
      </c>
      <c r="H460" s="316"/>
    </row>
    <row r="461" spans="1:8" s="1" customFormat="1" ht="12.75">
      <c r="A461" s="141" t="s">
        <v>555</v>
      </c>
      <c r="B461" s="117" t="s">
        <v>554</v>
      </c>
      <c r="C461" s="117"/>
      <c r="D461" s="178">
        <f>D462</f>
        <v>30</v>
      </c>
      <c r="H461" s="316"/>
    </row>
    <row r="462" spans="1:8" s="1" customFormat="1" ht="25.5">
      <c r="A462" s="63" t="s">
        <v>190</v>
      </c>
      <c r="B462" s="117" t="s">
        <v>554</v>
      </c>
      <c r="C462" s="117" t="s">
        <v>178</v>
      </c>
      <c r="D462" s="178">
        <f>D463</f>
        <v>30</v>
      </c>
      <c r="H462" s="316"/>
    </row>
    <row r="463" spans="1:8" s="1" customFormat="1" ht="12.75">
      <c r="A463" s="50" t="s">
        <v>191</v>
      </c>
      <c r="B463" s="117" t="s">
        <v>554</v>
      </c>
      <c r="C463" s="117" t="s">
        <v>192</v>
      </c>
      <c r="D463" s="178">
        <v>30</v>
      </c>
      <c r="H463" s="316"/>
    </row>
    <row r="464" spans="1:8" s="1" customFormat="1" ht="25.5">
      <c r="A464" s="50" t="s">
        <v>563</v>
      </c>
      <c r="B464" s="114" t="s">
        <v>564</v>
      </c>
      <c r="C464" s="117"/>
      <c r="D464" s="178">
        <f>D465</f>
        <v>110</v>
      </c>
      <c r="H464" s="316"/>
    </row>
    <row r="465" spans="1:8" s="1" customFormat="1" ht="25.5">
      <c r="A465" s="63" t="s">
        <v>190</v>
      </c>
      <c r="B465" s="114" t="s">
        <v>564</v>
      </c>
      <c r="C465" s="117" t="s">
        <v>188</v>
      </c>
      <c r="D465" s="178">
        <f>D466</f>
        <v>110</v>
      </c>
      <c r="H465" s="316"/>
    </row>
    <row r="466" spans="1:8" s="1" customFormat="1" ht="12.75">
      <c r="A466" s="50" t="s">
        <v>191</v>
      </c>
      <c r="B466" s="114" t="s">
        <v>564</v>
      </c>
      <c r="C466" s="117" t="s">
        <v>187</v>
      </c>
      <c r="D466" s="178">
        <v>110</v>
      </c>
      <c r="H466" s="316"/>
    </row>
    <row r="467" spans="1:8" s="1" customFormat="1" ht="12.75">
      <c r="A467" s="89" t="s">
        <v>309</v>
      </c>
      <c r="B467" s="117" t="s">
        <v>372</v>
      </c>
      <c r="C467" s="117"/>
      <c r="D467" s="178">
        <f>D468</f>
        <v>590</v>
      </c>
      <c r="H467" s="316"/>
    </row>
    <row r="468" spans="1:8" s="1" customFormat="1" ht="25.5">
      <c r="A468" s="63" t="s">
        <v>190</v>
      </c>
      <c r="B468" s="117" t="s">
        <v>372</v>
      </c>
      <c r="C468" s="117" t="s">
        <v>178</v>
      </c>
      <c r="D468" s="178">
        <f>D469</f>
        <v>590</v>
      </c>
      <c r="H468" s="316"/>
    </row>
    <row r="469" spans="1:8" s="1" customFormat="1" ht="12.75">
      <c r="A469" s="50" t="s">
        <v>191</v>
      </c>
      <c r="B469" s="117" t="s">
        <v>372</v>
      </c>
      <c r="C469" s="117" t="s">
        <v>192</v>
      </c>
      <c r="D469" s="178">
        <v>590</v>
      </c>
      <c r="H469" s="316"/>
    </row>
    <row r="470" spans="1:8" s="1" customFormat="1" ht="25.5">
      <c r="A470" s="126" t="s">
        <v>442</v>
      </c>
      <c r="B470" s="127" t="s">
        <v>15</v>
      </c>
      <c r="C470" s="127"/>
      <c r="D470" s="177">
        <f>D471+D474</f>
        <v>40018</v>
      </c>
      <c r="H470" s="316"/>
    </row>
    <row r="471" spans="1:8" s="1" customFormat="1" ht="51">
      <c r="A471" s="73" t="s">
        <v>231</v>
      </c>
      <c r="B471" s="117" t="s">
        <v>16</v>
      </c>
      <c r="C471" s="117"/>
      <c r="D471" s="178">
        <f>D472</f>
        <v>39518</v>
      </c>
      <c r="H471" s="316"/>
    </row>
    <row r="472" spans="1:8" s="1" customFormat="1" ht="12.75">
      <c r="A472" s="60" t="s">
        <v>226</v>
      </c>
      <c r="B472" s="117" t="s">
        <v>16</v>
      </c>
      <c r="C472" s="117" t="s">
        <v>188</v>
      </c>
      <c r="D472" s="178">
        <f>D473</f>
        <v>39518</v>
      </c>
      <c r="H472" s="316"/>
    </row>
    <row r="473" spans="1:8" s="1" customFormat="1" ht="12.75">
      <c r="A473" s="60" t="s">
        <v>189</v>
      </c>
      <c r="B473" s="117" t="s">
        <v>16</v>
      </c>
      <c r="C473" s="117" t="s">
        <v>187</v>
      </c>
      <c r="D473" s="178">
        <f>37783.8+1734.2</f>
        <v>39518</v>
      </c>
      <c r="H473" s="316"/>
    </row>
    <row r="474" spans="1:8" s="1" customFormat="1" ht="38.25">
      <c r="A474" s="46" t="s">
        <v>504</v>
      </c>
      <c r="B474" s="117" t="s">
        <v>505</v>
      </c>
      <c r="C474" s="117"/>
      <c r="D474" s="178">
        <f>D475</f>
        <v>500</v>
      </c>
      <c r="H474" s="316"/>
    </row>
    <row r="475" spans="1:8" s="1" customFormat="1" ht="12.75">
      <c r="A475" s="60" t="s">
        <v>226</v>
      </c>
      <c r="B475" s="117" t="s">
        <v>505</v>
      </c>
      <c r="C475" s="117" t="s">
        <v>188</v>
      </c>
      <c r="D475" s="178">
        <f>D476</f>
        <v>500</v>
      </c>
      <c r="H475" s="316"/>
    </row>
    <row r="476" spans="1:8" s="1" customFormat="1" ht="12.75">
      <c r="A476" s="60" t="s">
        <v>189</v>
      </c>
      <c r="B476" s="117" t="s">
        <v>505</v>
      </c>
      <c r="C476" s="117" t="s">
        <v>187</v>
      </c>
      <c r="D476" s="178">
        <v>500</v>
      </c>
      <c r="H476" s="316"/>
    </row>
    <row r="477" spans="1:8" s="1" customFormat="1" ht="12.75">
      <c r="A477" s="126" t="s">
        <v>538</v>
      </c>
      <c r="B477" s="127" t="s">
        <v>17</v>
      </c>
      <c r="C477" s="127"/>
      <c r="D477" s="177">
        <f>D481+D478+D489+D486</f>
        <v>30291</v>
      </c>
      <c r="H477" s="316"/>
    </row>
    <row r="478" spans="1:8" s="1" customFormat="1" ht="12.75">
      <c r="A478" s="46" t="s">
        <v>106</v>
      </c>
      <c r="B478" s="117" t="s">
        <v>459</v>
      </c>
      <c r="C478" s="117"/>
      <c r="D478" s="178">
        <f>D479</f>
        <v>7199.5</v>
      </c>
      <c r="H478" s="316"/>
    </row>
    <row r="479" spans="1:8" s="1" customFormat="1" ht="25.5">
      <c r="A479" s="60" t="s">
        <v>263</v>
      </c>
      <c r="B479" s="117" t="s">
        <v>459</v>
      </c>
      <c r="C479" s="117" t="s">
        <v>178</v>
      </c>
      <c r="D479" s="178">
        <f>D480</f>
        <v>7199.5</v>
      </c>
      <c r="H479" s="316"/>
    </row>
    <row r="480" spans="1:8" s="1" customFormat="1" ht="12.75">
      <c r="A480" s="60" t="s">
        <v>197</v>
      </c>
      <c r="B480" s="117" t="s">
        <v>459</v>
      </c>
      <c r="C480" s="117" t="s">
        <v>196</v>
      </c>
      <c r="D480" s="178">
        <v>7199.5</v>
      </c>
      <c r="H480" s="316"/>
    </row>
    <row r="481" spans="1:8" s="1" customFormat="1" ht="12.75">
      <c r="A481" s="46" t="s">
        <v>7</v>
      </c>
      <c r="B481" s="117" t="s">
        <v>361</v>
      </c>
      <c r="C481" s="117"/>
      <c r="D481" s="178">
        <f>D482+D484</f>
        <v>4461.5</v>
      </c>
      <c r="H481" s="316"/>
    </row>
    <row r="482" spans="1:8" s="1" customFormat="1" ht="12.75">
      <c r="A482" s="60" t="s">
        <v>226</v>
      </c>
      <c r="B482" s="117" t="s">
        <v>361</v>
      </c>
      <c r="C482" s="117" t="s">
        <v>188</v>
      </c>
      <c r="D482" s="178">
        <f>D483</f>
        <v>1138.7</v>
      </c>
      <c r="H482" s="316"/>
    </row>
    <row r="483" spans="1:8" s="1" customFormat="1" ht="12.75">
      <c r="A483" s="60" t="s">
        <v>189</v>
      </c>
      <c r="B483" s="117" t="s">
        <v>361</v>
      </c>
      <c r="C483" s="117" t="s">
        <v>187</v>
      </c>
      <c r="D483" s="178">
        <v>1138.7</v>
      </c>
      <c r="H483" s="316"/>
    </row>
    <row r="484" spans="1:8" s="1" customFormat="1" ht="25.5">
      <c r="A484" s="60" t="s">
        <v>263</v>
      </c>
      <c r="B484" s="117" t="s">
        <v>361</v>
      </c>
      <c r="C484" s="117" t="s">
        <v>178</v>
      </c>
      <c r="D484" s="178">
        <f>D485</f>
        <v>3322.8</v>
      </c>
      <c r="H484" s="316"/>
    </row>
    <row r="485" spans="1:8" s="1" customFormat="1" ht="12.75">
      <c r="A485" s="60" t="s">
        <v>197</v>
      </c>
      <c r="B485" s="117" t="s">
        <v>361</v>
      </c>
      <c r="C485" s="117" t="s">
        <v>196</v>
      </c>
      <c r="D485" s="178">
        <v>3322.8</v>
      </c>
      <c r="H485" s="316"/>
    </row>
    <row r="486" spans="1:8" s="1" customFormat="1" ht="12.75">
      <c r="A486" s="46" t="s">
        <v>593</v>
      </c>
      <c r="B486" s="117" t="s">
        <v>592</v>
      </c>
      <c r="C486" s="117"/>
      <c r="D486" s="178">
        <f>D487</f>
        <v>15130</v>
      </c>
      <c r="H486" s="316"/>
    </row>
    <row r="487" spans="1:8" s="1" customFormat="1" ht="12.75">
      <c r="A487" s="60" t="s">
        <v>226</v>
      </c>
      <c r="B487" s="117" t="s">
        <v>592</v>
      </c>
      <c r="C487" s="117" t="s">
        <v>188</v>
      </c>
      <c r="D487" s="178">
        <f>D488</f>
        <v>15130</v>
      </c>
      <c r="H487" s="316"/>
    </row>
    <row r="488" spans="1:8" s="1" customFormat="1" ht="12.75">
      <c r="A488" s="60" t="s">
        <v>189</v>
      </c>
      <c r="B488" s="117" t="s">
        <v>592</v>
      </c>
      <c r="C488" s="117" t="s">
        <v>187</v>
      </c>
      <c r="D488" s="178">
        <f>14900+230</f>
        <v>15130</v>
      </c>
      <c r="H488" s="316"/>
    </row>
    <row r="489" spans="1:8" s="1" customFormat="1" ht="25.5">
      <c r="A489" s="46" t="s">
        <v>507</v>
      </c>
      <c r="B489" s="117" t="s">
        <v>506</v>
      </c>
      <c r="C489" s="117"/>
      <c r="D489" s="178">
        <f>D490</f>
        <v>3500</v>
      </c>
      <c r="H489" s="316"/>
    </row>
    <row r="490" spans="1:8" s="1" customFormat="1" ht="12.75">
      <c r="A490" s="60" t="s">
        <v>226</v>
      </c>
      <c r="B490" s="117" t="s">
        <v>506</v>
      </c>
      <c r="C490" s="117" t="s">
        <v>188</v>
      </c>
      <c r="D490" s="178">
        <f>D491</f>
        <v>3500</v>
      </c>
      <c r="H490" s="316"/>
    </row>
    <row r="491" spans="1:8" s="1" customFormat="1" ht="12.75">
      <c r="A491" s="60" t="s">
        <v>189</v>
      </c>
      <c r="B491" s="117" t="s">
        <v>506</v>
      </c>
      <c r="C491" s="117" t="s">
        <v>187</v>
      </c>
      <c r="D491" s="178">
        <v>3500</v>
      </c>
      <c r="H491" s="316"/>
    </row>
    <row r="492" spans="1:8" s="1" customFormat="1" ht="25.5">
      <c r="A492" s="109" t="s">
        <v>539</v>
      </c>
      <c r="B492" s="127" t="s">
        <v>80</v>
      </c>
      <c r="C492" s="127"/>
      <c r="D492" s="188">
        <f>D493</f>
        <v>717.9</v>
      </c>
      <c r="H492" s="316"/>
    </row>
    <row r="493" spans="1:8" s="1" customFormat="1" ht="12.75">
      <c r="A493" s="141" t="s">
        <v>540</v>
      </c>
      <c r="B493" s="122" t="s">
        <v>81</v>
      </c>
      <c r="C493" s="117"/>
      <c r="D493" s="186">
        <f>D494+D496</f>
        <v>717.9</v>
      </c>
      <c r="H493" s="316"/>
    </row>
    <row r="494" spans="1:8" s="1" customFormat="1" ht="21" customHeight="1">
      <c r="A494" s="60" t="s">
        <v>226</v>
      </c>
      <c r="B494" s="122" t="s">
        <v>81</v>
      </c>
      <c r="C494" s="117" t="s">
        <v>188</v>
      </c>
      <c r="D494" s="186">
        <f>D495</f>
        <v>217.9</v>
      </c>
      <c r="H494" s="316"/>
    </row>
    <row r="495" spans="1:8" s="1" customFormat="1" ht="12.75">
      <c r="A495" s="60" t="s">
        <v>189</v>
      </c>
      <c r="B495" s="122" t="s">
        <v>81</v>
      </c>
      <c r="C495" s="117" t="s">
        <v>187</v>
      </c>
      <c r="D495" s="186">
        <f>166.8+51.1</f>
        <v>217.9</v>
      </c>
      <c r="H495" s="316"/>
    </row>
    <row r="496" spans="1:8" s="1" customFormat="1" ht="25.5">
      <c r="A496" s="79" t="s">
        <v>190</v>
      </c>
      <c r="B496" s="122" t="s">
        <v>81</v>
      </c>
      <c r="C496" s="117" t="s">
        <v>178</v>
      </c>
      <c r="D496" s="186">
        <f>D497</f>
        <v>500</v>
      </c>
      <c r="H496" s="316"/>
    </row>
    <row r="497" spans="1:8" s="1" customFormat="1" ht="12.75">
      <c r="A497" s="60" t="s">
        <v>197</v>
      </c>
      <c r="B497" s="122" t="s">
        <v>81</v>
      </c>
      <c r="C497" s="117" t="s">
        <v>196</v>
      </c>
      <c r="D497" s="186">
        <v>500</v>
      </c>
      <c r="H497" s="316"/>
    </row>
    <row r="498" spans="1:8" s="1" customFormat="1" ht="25.5">
      <c r="A498" s="126" t="s">
        <v>462</v>
      </c>
      <c r="B498" s="127" t="s">
        <v>52</v>
      </c>
      <c r="C498" s="127"/>
      <c r="D498" s="177">
        <f>D499+D508+D522</f>
        <v>3910.964</v>
      </c>
      <c r="H498" s="316"/>
    </row>
    <row r="499" spans="1:8" s="1" customFormat="1" ht="25.5">
      <c r="A499" s="44" t="s">
        <v>530</v>
      </c>
      <c r="B499" s="116" t="s">
        <v>220</v>
      </c>
      <c r="C499" s="116"/>
      <c r="D499" s="184">
        <f>D500+D505</f>
        <v>2517.964</v>
      </c>
      <c r="H499" s="316"/>
    </row>
    <row r="500" spans="1:8" s="1" customFormat="1" ht="12.75">
      <c r="A500" s="46" t="s">
        <v>630</v>
      </c>
      <c r="B500" s="114" t="s">
        <v>631</v>
      </c>
      <c r="C500" s="117"/>
      <c r="D500" s="178">
        <f>D501+D503</f>
        <v>64.7</v>
      </c>
      <c r="H500" s="316"/>
    </row>
    <row r="501" spans="1:8" s="1" customFormat="1" ht="38.25">
      <c r="A501" s="60" t="s">
        <v>116</v>
      </c>
      <c r="B501" s="114" t="s">
        <v>631</v>
      </c>
      <c r="C501" s="117" t="s">
        <v>198</v>
      </c>
      <c r="D501" s="178">
        <f>D502</f>
        <v>13.2</v>
      </c>
      <c r="H501" s="316"/>
    </row>
    <row r="502" spans="1:8" s="1" customFormat="1" ht="12.75">
      <c r="A502" s="63" t="s">
        <v>193</v>
      </c>
      <c r="B502" s="114" t="s">
        <v>631</v>
      </c>
      <c r="C502" s="117" t="s">
        <v>194</v>
      </c>
      <c r="D502" s="178">
        <v>13.2</v>
      </c>
      <c r="H502" s="316"/>
    </row>
    <row r="503" spans="1:8" s="1" customFormat="1" ht="12.75">
      <c r="A503" s="60" t="s">
        <v>226</v>
      </c>
      <c r="B503" s="114" t="s">
        <v>631</v>
      </c>
      <c r="C503" s="117" t="s">
        <v>188</v>
      </c>
      <c r="D503" s="178">
        <f>D504</f>
        <v>51.5</v>
      </c>
      <c r="H503" s="316"/>
    </row>
    <row r="504" spans="1:8" s="1" customFormat="1" ht="12.75">
      <c r="A504" s="60" t="s">
        <v>189</v>
      </c>
      <c r="B504" s="114" t="s">
        <v>631</v>
      </c>
      <c r="C504" s="117" t="s">
        <v>187</v>
      </c>
      <c r="D504" s="178">
        <v>51.5</v>
      </c>
      <c r="H504" s="316"/>
    </row>
    <row r="505" spans="1:8" s="1" customFormat="1" ht="12.75">
      <c r="A505" s="311" t="s">
        <v>315</v>
      </c>
      <c r="B505" s="117" t="s">
        <v>273</v>
      </c>
      <c r="C505" s="117"/>
      <c r="D505" s="178">
        <f>SUM(D506)</f>
        <v>2453.264</v>
      </c>
      <c r="H505" s="316"/>
    </row>
    <row r="506" spans="1:8" s="1" customFormat="1" ht="12.75">
      <c r="A506" s="60" t="s">
        <v>226</v>
      </c>
      <c r="B506" s="117" t="s">
        <v>273</v>
      </c>
      <c r="C506" s="117" t="s">
        <v>188</v>
      </c>
      <c r="D506" s="178">
        <f>D507</f>
        <v>2453.264</v>
      </c>
      <c r="H506" s="316"/>
    </row>
    <row r="507" spans="1:8" s="1" customFormat="1" ht="12.75">
      <c r="A507" s="60" t="s">
        <v>189</v>
      </c>
      <c r="B507" s="117" t="s">
        <v>273</v>
      </c>
      <c r="C507" s="117" t="s">
        <v>187</v>
      </c>
      <c r="D507" s="178">
        <v>2453.264</v>
      </c>
      <c r="H507" s="316"/>
    </row>
    <row r="508" spans="1:8" s="1" customFormat="1" ht="25.5">
      <c r="A508" s="53" t="s">
        <v>531</v>
      </c>
      <c r="B508" s="116" t="s">
        <v>66</v>
      </c>
      <c r="C508" s="116"/>
      <c r="D508" s="184">
        <f>D509+D519+D516</f>
        <v>1313</v>
      </c>
      <c r="H508" s="316"/>
    </row>
    <row r="509" spans="1:8" s="1" customFormat="1" ht="12.75">
      <c r="A509" s="46" t="s">
        <v>95</v>
      </c>
      <c r="B509" s="117" t="s">
        <v>275</v>
      </c>
      <c r="C509" s="117"/>
      <c r="D509" s="178">
        <f>D510+D514+D512</f>
        <v>80</v>
      </c>
      <c r="H509" s="316"/>
    </row>
    <row r="510" spans="1:8" s="1" customFormat="1" ht="38.25">
      <c r="A510" s="60" t="s">
        <v>116</v>
      </c>
      <c r="B510" s="117" t="s">
        <v>275</v>
      </c>
      <c r="C510" s="117" t="s">
        <v>198</v>
      </c>
      <c r="D510" s="178">
        <f>D511</f>
        <v>40</v>
      </c>
      <c r="H510" s="316"/>
    </row>
    <row r="511" spans="1:8" s="1" customFormat="1" ht="12.75">
      <c r="A511" s="63" t="s">
        <v>193</v>
      </c>
      <c r="B511" s="117" t="s">
        <v>275</v>
      </c>
      <c r="C511" s="117" t="s">
        <v>194</v>
      </c>
      <c r="D511" s="178">
        <v>40</v>
      </c>
      <c r="H511" s="316"/>
    </row>
    <row r="512" spans="1:8" s="1" customFormat="1" ht="12.75">
      <c r="A512" s="60" t="s">
        <v>226</v>
      </c>
      <c r="B512" s="117" t="s">
        <v>275</v>
      </c>
      <c r="C512" s="117" t="s">
        <v>188</v>
      </c>
      <c r="D512" s="178">
        <f>D513</f>
        <v>20</v>
      </c>
      <c r="H512" s="316"/>
    </row>
    <row r="513" spans="1:8" s="1" customFormat="1" ht="12.75">
      <c r="A513" s="60" t="s">
        <v>189</v>
      </c>
      <c r="B513" s="117" t="s">
        <v>275</v>
      </c>
      <c r="C513" s="117" t="s">
        <v>187</v>
      </c>
      <c r="D513" s="178">
        <v>20</v>
      </c>
      <c r="H513" s="316"/>
    </row>
    <row r="514" spans="1:8" s="1" customFormat="1" ht="25.5">
      <c r="A514" s="154" t="s">
        <v>263</v>
      </c>
      <c r="B514" s="117" t="s">
        <v>275</v>
      </c>
      <c r="C514" s="117" t="s">
        <v>178</v>
      </c>
      <c r="D514" s="178">
        <f>D515</f>
        <v>20</v>
      </c>
      <c r="H514" s="316"/>
    </row>
    <row r="515" spans="1:8" s="1" customFormat="1" ht="25.5">
      <c r="A515" s="50" t="s">
        <v>388</v>
      </c>
      <c r="B515" s="117" t="s">
        <v>275</v>
      </c>
      <c r="C515" s="117" t="s">
        <v>203</v>
      </c>
      <c r="D515" s="178">
        <v>20</v>
      </c>
      <c r="H515" s="316"/>
    </row>
    <row r="516" spans="1:8" s="1" customFormat="1" ht="25.5">
      <c r="A516" s="74" t="s">
        <v>405</v>
      </c>
      <c r="B516" s="117" t="s">
        <v>404</v>
      </c>
      <c r="C516" s="117"/>
      <c r="D516" s="178">
        <f>D517</f>
        <v>1100</v>
      </c>
      <c r="H516" s="316"/>
    </row>
    <row r="517" spans="1:8" s="1" customFormat="1" ht="12.75">
      <c r="A517" s="60" t="s">
        <v>226</v>
      </c>
      <c r="B517" s="115" t="s">
        <v>404</v>
      </c>
      <c r="C517" s="117" t="s">
        <v>188</v>
      </c>
      <c r="D517" s="178">
        <f>D518</f>
        <v>1100</v>
      </c>
      <c r="H517" s="316"/>
    </row>
    <row r="518" spans="1:8" s="1" customFormat="1" ht="12.75">
      <c r="A518" s="60" t="s">
        <v>189</v>
      </c>
      <c r="B518" s="115" t="s">
        <v>404</v>
      </c>
      <c r="C518" s="117" t="s">
        <v>187</v>
      </c>
      <c r="D518" s="178">
        <f>300+800</f>
        <v>1100</v>
      </c>
      <c r="H518" s="316"/>
    </row>
    <row r="519" spans="1:8" s="1" customFormat="1" ht="25.5">
      <c r="A519" s="74" t="s">
        <v>316</v>
      </c>
      <c r="B519" s="115" t="s">
        <v>276</v>
      </c>
      <c r="C519" s="117"/>
      <c r="D519" s="178">
        <f>D520</f>
        <v>133</v>
      </c>
      <c r="H519" s="316"/>
    </row>
    <row r="520" spans="1:8" s="1" customFormat="1" ht="25.5">
      <c r="A520" s="154" t="s">
        <v>263</v>
      </c>
      <c r="B520" s="115" t="s">
        <v>276</v>
      </c>
      <c r="C520" s="117" t="s">
        <v>178</v>
      </c>
      <c r="D520" s="178">
        <f>D521</f>
        <v>133</v>
      </c>
      <c r="H520" s="316"/>
    </row>
    <row r="521" spans="1:8" s="1" customFormat="1" ht="25.5">
      <c r="A521" s="50" t="s">
        <v>388</v>
      </c>
      <c r="B521" s="115" t="s">
        <v>276</v>
      </c>
      <c r="C521" s="117" t="s">
        <v>203</v>
      </c>
      <c r="D521" s="178">
        <v>133</v>
      </c>
      <c r="H521" s="316"/>
    </row>
    <row r="522" spans="1:8" s="1" customFormat="1" ht="12.75">
      <c r="A522" s="53" t="s">
        <v>406</v>
      </c>
      <c r="B522" s="116" t="s">
        <v>407</v>
      </c>
      <c r="C522" s="116"/>
      <c r="D522" s="184">
        <f>D523</f>
        <v>80</v>
      </c>
      <c r="H522" s="316"/>
    </row>
    <row r="523" spans="1:8" s="1" customFormat="1" ht="12.75">
      <c r="A523" s="46" t="s">
        <v>95</v>
      </c>
      <c r="B523" s="117" t="s">
        <v>408</v>
      </c>
      <c r="C523" s="117"/>
      <c r="D523" s="178">
        <f>D524+D526</f>
        <v>80</v>
      </c>
      <c r="H523" s="316"/>
    </row>
    <row r="524" spans="1:8" s="1" customFormat="1" ht="38.25">
      <c r="A524" s="60" t="s">
        <v>116</v>
      </c>
      <c r="B524" s="117" t="s">
        <v>408</v>
      </c>
      <c r="C524" s="117" t="s">
        <v>198</v>
      </c>
      <c r="D524" s="178">
        <f>D525</f>
        <v>60</v>
      </c>
      <c r="H524" s="316"/>
    </row>
    <row r="525" spans="1:8" s="1" customFormat="1" ht="12.75">
      <c r="A525" s="63" t="s">
        <v>193</v>
      </c>
      <c r="B525" s="117" t="s">
        <v>408</v>
      </c>
      <c r="C525" s="117" t="s">
        <v>194</v>
      </c>
      <c r="D525" s="178">
        <v>60</v>
      </c>
      <c r="H525" s="316"/>
    </row>
    <row r="526" spans="1:8" s="1" customFormat="1" ht="12.75">
      <c r="A526" s="60" t="s">
        <v>226</v>
      </c>
      <c r="B526" s="117" t="s">
        <v>408</v>
      </c>
      <c r="C526" s="117" t="s">
        <v>188</v>
      </c>
      <c r="D526" s="178">
        <f>D527</f>
        <v>20</v>
      </c>
      <c r="H526" s="316"/>
    </row>
    <row r="527" spans="1:8" s="1" customFormat="1" ht="12.75">
      <c r="A527" s="60" t="s">
        <v>189</v>
      </c>
      <c r="B527" s="117" t="s">
        <v>408</v>
      </c>
      <c r="C527" s="117" t="s">
        <v>187</v>
      </c>
      <c r="D527" s="178">
        <v>20</v>
      </c>
      <c r="H527" s="316"/>
    </row>
    <row r="528" spans="1:8" s="1" customFormat="1" ht="12.75">
      <c r="A528" s="109" t="s">
        <v>541</v>
      </c>
      <c r="B528" s="127" t="s">
        <v>18</v>
      </c>
      <c r="C528" s="127"/>
      <c r="D528" s="177">
        <f>D529+D532</f>
        <v>3850</v>
      </c>
      <c r="H528" s="316"/>
    </row>
    <row r="529" spans="1:8" s="1" customFormat="1" ht="12.75">
      <c r="A529" s="71" t="s">
        <v>243</v>
      </c>
      <c r="B529" s="117" t="s">
        <v>633</v>
      </c>
      <c r="C529" s="117"/>
      <c r="D529" s="178">
        <f>D530</f>
        <v>150</v>
      </c>
      <c r="H529" s="316"/>
    </row>
    <row r="530" spans="1:8" s="1" customFormat="1" ht="12.75">
      <c r="A530" s="60" t="s">
        <v>226</v>
      </c>
      <c r="B530" s="117" t="s">
        <v>633</v>
      </c>
      <c r="C530" s="117" t="s">
        <v>188</v>
      </c>
      <c r="D530" s="178">
        <f>D531</f>
        <v>150</v>
      </c>
      <c r="H530" s="316"/>
    </row>
    <row r="531" spans="1:8" s="1" customFormat="1" ht="12.75">
      <c r="A531" s="60" t="s">
        <v>189</v>
      </c>
      <c r="B531" s="117" t="s">
        <v>633</v>
      </c>
      <c r="C531" s="117" t="s">
        <v>187</v>
      </c>
      <c r="D531" s="178">
        <v>150</v>
      </c>
      <c r="H531" s="316"/>
    </row>
    <row r="532" spans="1:8" s="1" customFormat="1" ht="25.5">
      <c r="A532" s="71" t="s">
        <v>436</v>
      </c>
      <c r="B532" s="117" t="s">
        <v>435</v>
      </c>
      <c r="C532" s="117"/>
      <c r="D532" s="178">
        <f>D533</f>
        <v>3700</v>
      </c>
      <c r="H532" s="316"/>
    </row>
    <row r="533" spans="1:8" s="1" customFormat="1" ht="12.75">
      <c r="A533" s="60" t="s">
        <v>226</v>
      </c>
      <c r="B533" s="117" t="s">
        <v>435</v>
      </c>
      <c r="C533" s="117" t="s">
        <v>188</v>
      </c>
      <c r="D533" s="178">
        <f>D534</f>
        <v>3700</v>
      </c>
      <c r="H533" s="316"/>
    </row>
    <row r="534" spans="1:8" s="1" customFormat="1" ht="12.75">
      <c r="A534" s="60" t="s">
        <v>189</v>
      </c>
      <c r="B534" s="117" t="s">
        <v>435</v>
      </c>
      <c r="C534" s="117" t="s">
        <v>187</v>
      </c>
      <c r="D534" s="178">
        <f>1850+1850</f>
        <v>3700</v>
      </c>
      <c r="H534" s="316"/>
    </row>
    <row r="535" spans="1:8" s="1" customFormat="1" ht="25.5">
      <c r="A535" s="109" t="s">
        <v>494</v>
      </c>
      <c r="B535" s="127" t="s">
        <v>354</v>
      </c>
      <c r="C535" s="127"/>
      <c r="D535" s="177">
        <f>D536</f>
        <v>92</v>
      </c>
      <c r="H535" s="316"/>
    </row>
    <row r="536" spans="1:8" s="1" customFormat="1" ht="25.5">
      <c r="A536" s="46" t="s">
        <v>94</v>
      </c>
      <c r="B536" s="117" t="s">
        <v>355</v>
      </c>
      <c r="C536" s="117"/>
      <c r="D536" s="178">
        <f>D537</f>
        <v>92</v>
      </c>
      <c r="H536" s="316"/>
    </row>
    <row r="537" spans="1:8" s="1" customFormat="1" ht="12.75">
      <c r="A537" s="60" t="s">
        <v>226</v>
      </c>
      <c r="B537" s="117" t="s">
        <v>355</v>
      </c>
      <c r="C537" s="117" t="s">
        <v>188</v>
      </c>
      <c r="D537" s="178">
        <f>D538</f>
        <v>92</v>
      </c>
      <c r="H537" s="316"/>
    </row>
    <row r="538" spans="1:8" s="1" customFormat="1" ht="12.75">
      <c r="A538" s="60" t="s">
        <v>189</v>
      </c>
      <c r="B538" s="117" t="s">
        <v>355</v>
      </c>
      <c r="C538" s="117" t="s">
        <v>187</v>
      </c>
      <c r="D538" s="178">
        <v>92</v>
      </c>
      <c r="H538" s="316"/>
    </row>
    <row r="539" spans="1:8" s="1" customFormat="1" ht="25.5">
      <c r="A539" s="129" t="s">
        <v>439</v>
      </c>
      <c r="B539" s="127" t="s">
        <v>19</v>
      </c>
      <c r="C539" s="132"/>
      <c r="D539" s="193">
        <f>D540+D545+D551+D554+D560+D563+D566+D557</f>
        <v>29038.466999999997</v>
      </c>
      <c r="H539" s="316"/>
    </row>
    <row r="540" spans="1:8" s="1" customFormat="1" ht="12.75">
      <c r="A540" s="46" t="s">
        <v>115</v>
      </c>
      <c r="B540" s="117" t="s">
        <v>70</v>
      </c>
      <c r="C540" s="166"/>
      <c r="D540" s="182">
        <f>D541+D543</f>
        <v>14603.4</v>
      </c>
      <c r="H540" s="316"/>
    </row>
    <row r="541" spans="1:8" s="1" customFormat="1" ht="38.25">
      <c r="A541" s="60" t="s">
        <v>116</v>
      </c>
      <c r="B541" s="117" t="s">
        <v>70</v>
      </c>
      <c r="C541" s="117" t="s">
        <v>198</v>
      </c>
      <c r="D541" s="183">
        <f>D542</f>
        <v>13901.1</v>
      </c>
      <c r="H541" s="316"/>
    </row>
    <row r="542" spans="1:8" s="1" customFormat="1" ht="12.75">
      <c r="A542" s="63" t="s">
        <v>193</v>
      </c>
      <c r="B542" s="117" t="s">
        <v>70</v>
      </c>
      <c r="C542" s="117" t="s">
        <v>194</v>
      </c>
      <c r="D542" s="186">
        <f>12227+1674.1</f>
        <v>13901.1</v>
      </c>
      <c r="H542" s="316"/>
    </row>
    <row r="543" spans="1:8" s="1" customFormat="1" ht="12.75">
      <c r="A543" s="60" t="s">
        <v>226</v>
      </c>
      <c r="B543" s="117" t="s">
        <v>70</v>
      </c>
      <c r="C543" s="117" t="s">
        <v>188</v>
      </c>
      <c r="D543" s="178">
        <f>D544</f>
        <v>702.3</v>
      </c>
      <c r="H543" s="316"/>
    </row>
    <row r="544" spans="1:8" s="1" customFormat="1" ht="12.75">
      <c r="A544" s="60" t="s">
        <v>189</v>
      </c>
      <c r="B544" s="117" t="s">
        <v>70</v>
      </c>
      <c r="C544" s="117" t="s">
        <v>187</v>
      </c>
      <c r="D544" s="178">
        <v>702.3</v>
      </c>
      <c r="H544" s="316"/>
    </row>
    <row r="545" spans="1:8" s="1" customFormat="1" ht="25.5">
      <c r="A545" s="46" t="s">
        <v>92</v>
      </c>
      <c r="B545" s="117" t="s">
        <v>219</v>
      </c>
      <c r="C545" s="166"/>
      <c r="D545" s="183">
        <f>D546+D548</f>
        <v>2841.196</v>
      </c>
      <c r="H545" s="316"/>
    </row>
    <row r="546" spans="1:8" s="1" customFormat="1" ht="12.75">
      <c r="A546" s="60" t="s">
        <v>226</v>
      </c>
      <c r="B546" s="117" t="s">
        <v>219</v>
      </c>
      <c r="C546" s="117" t="s">
        <v>188</v>
      </c>
      <c r="D546" s="178">
        <f>D547</f>
        <v>2819.2</v>
      </c>
      <c r="H546" s="316"/>
    </row>
    <row r="547" spans="1:8" s="1" customFormat="1" ht="12.75">
      <c r="A547" s="60" t="s">
        <v>189</v>
      </c>
      <c r="B547" s="117" t="s">
        <v>219</v>
      </c>
      <c r="C547" s="117" t="s">
        <v>187</v>
      </c>
      <c r="D547" s="178">
        <f>2821.2-2</f>
        <v>2819.2</v>
      </c>
      <c r="H547" s="316"/>
    </row>
    <row r="548" spans="1:8" s="1" customFormat="1" ht="12.75">
      <c r="A548" s="60" t="s">
        <v>90</v>
      </c>
      <c r="B548" s="117" t="s">
        <v>219</v>
      </c>
      <c r="C548" s="117" t="s">
        <v>87</v>
      </c>
      <c r="D548" s="178">
        <f>D550+D549</f>
        <v>21.996</v>
      </c>
      <c r="H548" s="316"/>
    </row>
    <row r="549" spans="1:8" s="1" customFormat="1" ht="12.75">
      <c r="A549" s="60" t="s">
        <v>288</v>
      </c>
      <c r="B549" s="117" t="s">
        <v>219</v>
      </c>
      <c r="C549" s="117" t="s">
        <v>598</v>
      </c>
      <c r="D549" s="178">
        <v>2</v>
      </c>
      <c r="H549" s="316"/>
    </row>
    <row r="550" spans="1:8" s="1" customFormat="1" ht="12.75">
      <c r="A550" s="60" t="s">
        <v>209</v>
      </c>
      <c r="B550" s="117" t="s">
        <v>219</v>
      </c>
      <c r="C550" s="117" t="s">
        <v>210</v>
      </c>
      <c r="D550" s="178">
        <v>19.996</v>
      </c>
      <c r="H550" s="316"/>
    </row>
    <row r="551" spans="1:8" s="1" customFormat="1" ht="12.75">
      <c r="A551" s="46" t="s">
        <v>109</v>
      </c>
      <c r="B551" s="165" t="s">
        <v>20</v>
      </c>
      <c r="C551" s="166"/>
      <c r="D551" s="183">
        <f>D552</f>
        <v>526</v>
      </c>
      <c r="H551" s="316"/>
    </row>
    <row r="552" spans="1:8" s="1" customFormat="1" ht="12.75">
      <c r="A552" s="60" t="s">
        <v>226</v>
      </c>
      <c r="B552" s="117" t="s">
        <v>20</v>
      </c>
      <c r="C552" s="117" t="s">
        <v>188</v>
      </c>
      <c r="D552" s="178">
        <f>D553</f>
        <v>526</v>
      </c>
      <c r="H552" s="316"/>
    </row>
    <row r="553" spans="1:8" s="1" customFormat="1" ht="12.75">
      <c r="A553" s="60" t="s">
        <v>189</v>
      </c>
      <c r="B553" s="117" t="s">
        <v>20</v>
      </c>
      <c r="C553" s="117" t="s">
        <v>187</v>
      </c>
      <c r="D553" s="178">
        <v>526</v>
      </c>
      <c r="H553" s="316"/>
    </row>
    <row r="554" spans="1:8" s="1" customFormat="1" ht="25.5" customHeight="1">
      <c r="A554" s="46" t="s">
        <v>110</v>
      </c>
      <c r="B554" s="115" t="s">
        <v>21</v>
      </c>
      <c r="C554" s="117"/>
      <c r="D554" s="178">
        <f>D555</f>
        <v>1264</v>
      </c>
      <c r="H554" s="316"/>
    </row>
    <row r="555" spans="1:8" s="1" customFormat="1" ht="12.75">
      <c r="A555" s="60" t="s">
        <v>226</v>
      </c>
      <c r="B555" s="115" t="s">
        <v>21</v>
      </c>
      <c r="C555" s="117" t="s">
        <v>188</v>
      </c>
      <c r="D555" s="178">
        <f>D556</f>
        <v>1264</v>
      </c>
      <c r="H555" s="316"/>
    </row>
    <row r="556" spans="1:8" s="1" customFormat="1" ht="12.75">
      <c r="A556" s="60" t="s">
        <v>189</v>
      </c>
      <c r="B556" s="115" t="s">
        <v>21</v>
      </c>
      <c r="C556" s="117" t="s">
        <v>187</v>
      </c>
      <c r="D556" s="178">
        <f>896+368</f>
        <v>1264</v>
      </c>
      <c r="H556" s="316"/>
    </row>
    <row r="557" spans="1:8" s="1" customFormat="1" ht="12.75">
      <c r="A557" s="50" t="s">
        <v>444</v>
      </c>
      <c r="B557" s="117" t="s">
        <v>510</v>
      </c>
      <c r="C557" s="117"/>
      <c r="D557" s="178">
        <f>D558</f>
        <v>100</v>
      </c>
      <c r="H557" s="316"/>
    </row>
    <row r="558" spans="1:8" s="1" customFormat="1" ht="12.75">
      <c r="A558" s="60" t="s">
        <v>226</v>
      </c>
      <c r="B558" s="117" t="s">
        <v>510</v>
      </c>
      <c r="C558" s="117" t="s">
        <v>188</v>
      </c>
      <c r="D558" s="178">
        <f>D559</f>
        <v>100</v>
      </c>
      <c r="H558" s="316"/>
    </row>
    <row r="559" spans="1:8" s="1" customFormat="1" ht="12.75">
      <c r="A559" s="60" t="s">
        <v>189</v>
      </c>
      <c r="B559" s="117" t="s">
        <v>510</v>
      </c>
      <c r="C559" s="117" t="s">
        <v>187</v>
      </c>
      <c r="D559" s="178">
        <v>100</v>
      </c>
      <c r="H559" s="316"/>
    </row>
    <row r="560" spans="1:8" s="1" customFormat="1" ht="12.75">
      <c r="A560" s="50" t="s">
        <v>441</v>
      </c>
      <c r="B560" s="117" t="s">
        <v>9</v>
      </c>
      <c r="C560" s="117"/>
      <c r="D560" s="178">
        <f>D561</f>
        <v>3214.6</v>
      </c>
      <c r="H560" s="316"/>
    </row>
    <row r="561" spans="1:8" s="1" customFormat="1" ht="12.75">
      <c r="A561" s="60" t="s">
        <v>226</v>
      </c>
      <c r="B561" s="117" t="s">
        <v>9</v>
      </c>
      <c r="C561" s="117" t="s">
        <v>188</v>
      </c>
      <c r="D561" s="178">
        <f>D562</f>
        <v>3214.6</v>
      </c>
      <c r="H561" s="316"/>
    </row>
    <row r="562" spans="1:8" s="1" customFormat="1" ht="12.75">
      <c r="A562" s="60" t="s">
        <v>189</v>
      </c>
      <c r="B562" s="117" t="s">
        <v>9</v>
      </c>
      <c r="C562" s="117" t="s">
        <v>187</v>
      </c>
      <c r="D562" s="178">
        <v>3214.6</v>
      </c>
      <c r="H562" s="316"/>
    </row>
    <row r="563" spans="1:8" s="1" customFormat="1" ht="25.5">
      <c r="A563" s="50" t="s">
        <v>391</v>
      </c>
      <c r="B563" s="117" t="s">
        <v>648</v>
      </c>
      <c r="C563" s="117"/>
      <c r="D563" s="178">
        <f>D564</f>
        <v>2941.7</v>
      </c>
      <c r="H563" s="316"/>
    </row>
    <row r="564" spans="1:8" s="1" customFormat="1" ht="12.75">
      <c r="A564" s="63" t="s">
        <v>227</v>
      </c>
      <c r="B564" s="117" t="s">
        <v>648</v>
      </c>
      <c r="C564" s="117" t="s">
        <v>199</v>
      </c>
      <c r="D564" s="178">
        <f>D565</f>
        <v>2941.7</v>
      </c>
      <c r="H564" s="316"/>
    </row>
    <row r="565" spans="1:8" s="1" customFormat="1" ht="12.75">
      <c r="A565" s="64" t="s">
        <v>179</v>
      </c>
      <c r="B565" s="117" t="s">
        <v>648</v>
      </c>
      <c r="C565" s="117" t="s">
        <v>200</v>
      </c>
      <c r="D565" s="178">
        <v>2941.7</v>
      </c>
      <c r="H565" s="316"/>
    </row>
    <row r="566" spans="1:8" s="1" customFormat="1" ht="12.75">
      <c r="A566" s="50" t="s">
        <v>403</v>
      </c>
      <c r="B566" s="309" t="s">
        <v>644</v>
      </c>
      <c r="C566" s="117"/>
      <c r="D566" s="178">
        <f>D567</f>
        <v>3547.571</v>
      </c>
      <c r="H566" s="316"/>
    </row>
    <row r="567" spans="1:8" s="1" customFormat="1" ht="12.75">
      <c r="A567" s="60" t="s">
        <v>226</v>
      </c>
      <c r="B567" s="309" t="s">
        <v>644</v>
      </c>
      <c r="C567" s="117" t="s">
        <v>188</v>
      </c>
      <c r="D567" s="178">
        <f>D568</f>
        <v>3547.571</v>
      </c>
      <c r="H567" s="316"/>
    </row>
    <row r="568" spans="1:8" s="1" customFormat="1" ht="12.75">
      <c r="A568" s="60" t="s">
        <v>189</v>
      </c>
      <c r="B568" s="309" t="s">
        <v>644</v>
      </c>
      <c r="C568" s="117" t="s">
        <v>187</v>
      </c>
      <c r="D568" s="178">
        <v>3547.571</v>
      </c>
      <c r="H568" s="316"/>
    </row>
    <row r="569" spans="1:8" s="1" customFormat="1" ht="25.5">
      <c r="A569" s="109" t="s">
        <v>495</v>
      </c>
      <c r="B569" s="127" t="s">
        <v>61</v>
      </c>
      <c r="C569" s="127"/>
      <c r="D569" s="177">
        <f>D570+D576</f>
        <v>23029.600000000002</v>
      </c>
      <c r="H569" s="316"/>
    </row>
    <row r="570" spans="1:8" s="1" customFormat="1" ht="25.5">
      <c r="A570" s="44" t="s">
        <v>515</v>
      </c>
      <c r="B570" s="116" t="s">
        <v>62</v>
      </c>
      <c r="C570" s="116"/>
      <c r="D570" s="184">
        <f>D571</f>
        <v>13524.800000000001</v>
      </c>
      <c r="H570" s="316"/>
    </row>
    <row r="571" spans="1:8" s="1" customFormat="1" ht="12.75">
      <c r="A571" s="46" t="s">
        <v>115</v>
      </c>
      <c r="B571" s="121" t="s">
        <v>63</v>
      </c>
      <c r="C571" s="117"/>
      <c r="D571" s="178">
        <f>D572+D574</f>
        <v>13524.800000000001</v>
      </c>
      <c r="H571" s="316"/>
    </row>
    <row r="572" spans="1:8" s="1" customFormat="1" ht="38.25">
      <c r="A572" s="60" t="s">
        <v>116</v>
      </c>
      <c r="B572" s="121" t="s">
        <v>63</v>
      </c>
      <c r="C572" s="117" t="s">
        <v>198</v>
      </c>
      <c r="D572" s="178">
        <f>D573</f>
        <v>12677.6</v>
      </c>
      <c r="H572" s="316"/>
    </row>
    <row r="573" spans="1:8" s="1" customFormat="1" ht="12.75">
      <c r="A573" s="63" t="s">
        <v>193</v>
      </c>
      <c r="B573" s="121" t="s">
        <v>63</v>
      </c>
      <c r="C573" s="117" t="s">
        <v>194</v>
      </c>
      <c r="D573" s="178">
        <f>12377.6+300</f>
        <v>12677.6</v>
      </c>
      <c r="H573" s="316"/>
    </row>
    <row r="574" spans="1:8" s="1" customFormat="1" ht="12.75">
      <c r="A574" s="60" t="s">
        <v>226</v>
      </c>
      <c r="B574" s="121" t="s">
        <v>63</v>
      </c>
      <c r="C574" s="117" t="s">
        <v>188</v>
      </c>
      <c r="D574" s="178">
        <f>D575</f>
        <v>847.2</v>
      </c>
      <c r="H574" s="316"/>
    </row>
    <row r="575" spans="1:8" s="4" customFormat="1" ht="12.75">
      <c r="A575" s="60" t="s">
        <v>189</v>
      </c>
      <c r="B575" s="121" t="s">
        <v>63</v>
      </c>
      <c r="C575" s="117" t="s">
        <v>187</v>
      </c>
      <c r="D575" s="178">
        <v>847.2</v>
      </c>
      <c r="H575" s="317"/>
    </row>
    <row r="576" spans="1:8" s="4" customFormat="1" ht="26.25" customHeight="1">
      <c r="A576" s="44" t="s">
        <v>516</v>
      </c>
      <c r="B576" s="116" t="s">
        <v>60</v>
      </c>
      <c r="C576" s="116"/>
      <c r="D576" s="184">
        <f>D577</f>
        <v>9504.800000000001</v>
      </c>
      <c r="H576" s="317"/>
    </row>
    <row r="577" spans="1:8" s="4" customFormat="1" ht="12.75">
      <c r="A577" s="46" t="s">
        <v>102</v>
      </c>
      <c r="B577" s="117" t="s">
        <v>59</v>
      </c>
      <c r="C577" s="117"/>
      <c r="D577" s="178">
        <f>D578</f>
        <v>9504.800000000001</v>
      </c>
      <c r="H577" s="317"/>
    </row>
    <row r="578" spans="1:8" s="4" customFormat="1" ht="12.75">
      <c r="A578" s="46" t="s">
        <v>111</v>
      </c>
      <c r="B578" s="117" t="s">
        <v>59</v>
      </c>
      <c r="C578" s="117" t="s">
        <v>113</v>
      </c>
      <c r="D578" s="178">
        <f>SUM(D579)</f>
        <v>9504.800000000001</v>
      </c>
      <c r="H578" s="317"/>
    </row>
    <row r="579" spans="1:8" s="4" customFormat="1" ht="12.75">
      <c r="A579" s="46" t="s">
        <v>112</v>
      </c>
      <c r="B579" s="117" t="s">
        <v>59</v>
      </c>
      <c r="C579" s="117" t="s">
        <v>114</v>
      </c>
      <c r="D579" s="178">
        <f>12155.2-2650.4</f>
        <v>9504.800000000001</v>
      </c>
      <c r="H579" s="317"/>
    </row>
    <row r="580" spans="1:8" s="4" customFormat="1" ht="25.5">
      <c r="A580" s="129" t="s">
        <v>440</v>
      </c>
      <c r="B580" s="127" t="s">
        <v>332</v>
      </c>
      <c r="C580" s="127"/>
      <c r="D580" s="177">
        <f>D581+D584+D587</f>
        <v>6136.500999999999</v>
      </c>
      <c r="H580" s="317"/>
    </row>
    <row r="581" spans="1:8" s="4" customFormat="1" ht="25.5">
      <c r="A581" s="46" t="s">
        <v>94</v>
      </c>
      <c r="B581" s="117" t="s">
        <v>346</v>
      </c>
      <c r="C581" s="117"/>
      <c r="D581" s="178">
        <f>D582</f>
        <v>100</v>
      </c>
      <c r="H581" s="317"/>
    </row>
    <row r="582" spans="1:8" s="4" customFormat="1" ht="12.75">
      <c r="A582" s="60" t="s">
        <v>226</v>
      </c>
      <c r="B582" s="117" t="s">
        <v>346</v>
      </c>
      <c r="C582" s="117" t="s">
        <v>188</v>
      </c>
      <c r="D582" s="178">
        <f>D583</f>
        <v>100</v>
      </c>
      <c r="H582" s="317"/>
    </row>
    <row r="583" spans="1:8" s="4" customFormat="1" ht="12.75">
      <c r="A583" s="60" t="s">
        <v>189</v>
      </c>
      <c r="B583" s="117" t="s">
        <v>346</v>
      </c>
      <c r="C583" s="117" t="s">
        <v>187</v>
      </c>
      <c r="D583" s="178">
        <v>100</v>
      </c>
      <c r="H583" s="317"/>
    </row>
    <row r="584" spans="1:8" s="4" customFormat="1" ht="25.5">
      <c r="A584" s="46" t="s">
        <v>334</v>
      </c>
      <c r="B584" s="117" t="s">
        <v>333</v>
      </c>
      <c r="C584" s="117"/>
      <c r="D584" s="178">
        <f>D585</f>
        <v>55.181</v>
      </c>
      <c r="H584" s="317"/>
    </row>
    <row r="585" spans="1:8" s="4" customFormat="1" ht="12.75">
      <c r="A585" s="63" t="s">
        <v>89</v>
      </c>
      <c r="B585" s="117" t="s">
        <v>333</v>
      </c>
      <c r="C585" s="117" t="s">
        <v>85</v>
      </c>
      <c r="D585" s="178">
        <f>D586</f>
        <v>55.181</v>
      </c>
      <c r="H585" s="317"/>
    </row>
    <row r="586" spans="1:8" s="4" customFormat="1" ht="12.75">
      <c r="A586" s="46" t="s">
        <v>84</v>
      </c>
      <c r="B586" s="117" t="s">
        <v>333</v>
      </c>
      <c r="C586" s="117" t="s">
        <v>86</v>
      </c>
      <c r="D586" s="178">
        <v>55.181</v>
      </c>
      <c r="H586" s="317"/>
    </row>
    <row r="587" spans="1:8" s="4" customFormat="1" ht="25.5">
      <c r="A587" s="46" t="s">
        <v>121</v>
      </c>
      <c r="B587" s="117" t="s">
        <v>396</v>
      </c>
      <c r="C587" s="117"/>
      <c r="D587" s="178">
        <f>D588+D590</f>
        <v>5981.32</v>
      </c>
      <c r="H587" s="317"/>
    </row>
    <row r="588" spans="1:8" s="4" customFormat="1" ht="38.25">
      <c r="A588" s="60" t="s">
        <v>116</v>
      </c>
      <c r="B588" s="117" t="s">
        <v>396</v>
      </c>
      <c r="C588" s="117" t="s">
        <v>198</v>
      </c>
      <c r="D588" s="178">
        <f>D589</f>
        <v>5596.32</v>
      </c>
      <c r="H588" s="317"/>
    </row>
    <row r="589" spans="1:8" s="4" customFormat="1" ht="12.75">
      <c r="A589" s="63" t="s">
        <v>193</v>
      </c>
      <c r="B589" s="117" t="s">
        <v>396</v>
      </c>
      <c r="C589" s="117" t="s">
        <v>194</v>
      </c>
      <c r="D589" s="178">
        <v>5596.32</v>
      </c>
      <c r="H589" s="317"/>
    </row>
    <row r="590" spans="1:8" s="4" customFormat="1" ht="12.75">
      <c r="A590" s="60" t="s">
        <v>226</v>
      </c>
      <c r="B590" s="117" t="s">
        <v>396</v>
      </c>
      <c r="C590" s="117" t="s">
        <v>188</v>
      </c>
      <c r="D590" s="178">
        <f>D591</f>
        <v>385</v>
      </c>
      <c r="H590" s="317"/>
    </row>
    <row r="591" spans="1:8" s="4" customFormat="1" ht="12.75">
      <c r="A591" s="60" t="s">
        <v>189</v>
      </c>
      <c r="B591" s="117" t="s">
        <v>396</v>
      </c>
      <c r="C591" s="117" t="s">
        <v>187</v>
      </c>
      <c r="D591" s="178">
        <v>385</v>
      </c>
      <c r="H591" s="317"/>
    </row>
    <row r="592" spans="1:8" s="4" customFormat="1" ht="12.75">
      <c r="A592" s="129" t="s">
        <v>512</v>
      </c>
      <c r="B592" s="127" t="s">
        <v>22</v>
      </c>
      <c r="C592" s="127"/>
      <c r="D592" s="177">
        <f>D593+D600</f>
        <v>211002.98799999998</v>
      </c>
      <c r="H592" s="317"/>
    </row>
    <row r="593" spans="1:8" s="4" customFormat="1" ht="25.5">
      <c r="A593" s="65" t="s">
        <v>311</v>
      </c>
      <c r="B593" s="116" t="s">
        <v>278</v>
      </c>
      <c r="C593" s="116"/>
      <c r="D593" s="184">
        <f>D597+D594</f>
        <v>3552.389</v>
      </c>
      <c r="H593" s="317"/>
    </row>
    <row r="594" spans="1:8" s="4" customFormat="1" ht="12.75">
      <c r="A594" s="46" t="s">
        <v>695</v>
      </c>
      <c r="B594" s="117" t="s">
        <v>712</v>
      </c>
      <c r="C594" s="117"/>
      <c r="D594" s="178">
        <f>D595</f>
        <v>2300</v>
      </c>
      <c r="H594" s="317"/>
    </row>
    <row r="595" spans="1:8" s="4" customFormat="1" ht="12.75">
      <c r="A595" s="63" t="s">
        <v>227</v>
      </c>
      <c r="B595" s="117" t="s">
        <v>712</v>
      </c>
      <c r="C595" s="117" t="s">
        <v>199</v>
      </c>
      <c r="D595" s="178">
        <f>D596</f>
        <v>2300</v>
      </c>
      <c r="H595" s="317"/>
    </row>
    <row r="596" spans="1:8" s="4" customFormat="1" ht="12.75">
      <c r="A596" s="64" t="s">
        <v>179</v>
      </c>
      <c r="B596" s="117" t="s">
        <v>712</v>
      </c>
      <c r="C596" s="117" t="s">
        <v>200</v>
      </c>
      <c r="D596" s="178">
        <v>2300</v>
      </c>
      <c r="H596" s="317"/>
    </row>
    <row r="597" spans="1:8" s="4" customFormat="1" ht="12.75">
      <c r="A597" s="46" t="s">
        <v>280</v>
      </c>
      <c r="B597" s="117" t="s">
        <v>279</v>
      </c>
      <c r="C597" s="117"/>
      <c r="D597" s="178">
        <f>D598</f>
        <v>1252.389</v>
      </c>
      <c r="H597" s="317"/>
    </row>
    <row r="598" spans="1:8" s="4" customFormat="1" ht="12.75">
      <c r="A598" s="63" t="s">
        <v>89</v>
      </c>
      <c r="B598" s="117" t="s">
        <v>279</v>
      </c>
      <c r="C598" s="117" t="s">
        <v>85</v>
      </c>
      <c r="D598" s="178">
        <f>D599</f>
        <v>1252.389</v>
      </c>
      <c r="H598" s="317"/>
    </row>
    <row r="599" spans="1:8" s="4" customFormat="1" ht="12.75">
      <c r="A599" s="46" t="s">
        <v>84</v>
      </c>
      <c r="B599" s="117" t="s">
        <v>279</v>
      </c>
      <c r="C599" s="117" t="s">
        <v>86</v>
      </c>
      <c r="D599" s="178">
        <v>1252.389</v>
      </c>
      <c r="H599" s="317"/>
    </row>
    <row r="600" spans="1:8" s="4" customFormat="1" ht="12.75">
      <c r="A600" s="65" t="s">
        <v>289</v>
      </c>
      <c r="B600" s="116" t="s">
        <v>281</v>
      </c>
      <c r="C600" s="116"/>
      <c r="D600" s="184">
        <f>D613+D622+D625+D628+D631+D634+D637+D607+D610+D616+D619+D601+D604</f>
        <v>207450.599</v>
      </c>
      <c r="H600" s="317"/>
    </row>
    <row r="601" spans="1:8" s="4" customFormat="1" ht="25.5">
      <c r="A601" s="46" t="s">
        <v>693</v>
      </c>
      <c r="B601" s="117" t="s">
        <v>692</v>
      </c>
      <c r="C601" s="117"/>
      <c r="D601" s="178">
        <f>D602</f>
        <v>4041.457</v>
      </c>
      <c r="H601" s="317"/>
    </row>
    <row r="602" spans="1:8" s="4" customFormat="1" ht="12.75">
      <c r="A602" s="63" t="s">
        <v>227</v>
      </c>
      <c r="B602" s="117" t="s">
        <v>692</v>
      </c>
      <c r="C602" s="117" t="s">
        <v>199</v>
      </c>
      <c r="D602" s="178">
        <f>D603</f>
        <v>4041.457</v>
      </c>
      <c r="H602" s="317"/>
    </row>
    <row r="603" spans="1:8" s="4" customFormat="1" ht="12.75">
      <c r="A603" s="64" t="s">
        <v>179</v>
      </c>
      <c r="B603" s="117" t="s">
        <v>692</v>
      </c>
      <c r="C603" s="117" t="s">
        <v>200</v>
      </c>
      <c r="D603" s="178">
        <f>3580.457+461</f>
        <v>4041.457</v>
      </c>
      <c r="H603" s="317"/>
    </row>
    <row r="604" spans="1:8" s="4" customFormat="1" ht="12.75">
      <c r="A604" s="46" t="s">
        <v>695</v>
      </c>
      <c r="B604" s="117" t="s">
        <v>694</v>
      </c>
      <c r="C604" s="117"/>
      <c r="D604" s="178">
        <f>D605</f>
        <v>2261.052</v>
      </c>
      <c r="H604" s="317"/>
    </row>
    <row r="605" spans="1:8" s="4" customFormat="1" ht="12.75">
      <c r="A605" s="63" t="s">
        <v>227</v>
      </c>
      <c r="B605" s="117" t="s">
        <v>694</v>
      </c>
      <c r="C605" s="117" t="s">
        <v>199</v>
      </c>
      <c r="D605" s="178">
        <f>D606</f>
        <v>2261.052</v>
      </c>
      <c r="H605" s="317"/>
    </row>
    <row r="606" spans="1:8" s="1" customFormat="1" ht="12.75">
      <c r="A606" s="64" t="s">
        <v>179</v>
      </c>
      <c r="B606" s="117" t="s">
        <v>694</v>
      </c>
      <c r="C606" s="117" t="s">
        <v>200</v>
      </c>
      <c r="D606" s="178">
        <v>2261.052</v>
      </c>
      <c r="H606" s="316"/>
    </row>
    <row r="607" spans="1:8" s="4" customFormat="1" ht="25.5">
      <c r="A607" s="46" t="s">
        <v>664</v>
      </c>
      <c r="B607" s="117" t="s">
        <v>662</v>
      </c>
      <c r="C607" s="117"/>
      <c r="D607" s="178">
        <f>D608</f>
        <v>82146</v>
      </c>
      <c r="H607" s="317"/>
    </row>
    <row r="608" spans="1:8" s="4" customFormat="1" ht="12.75">
      <c r="A608" s="63" t="s">
        <v>227</v>
      </c>
      <c r="B608" s="117" t="s">
        <v>662</v>
      </c>
      <c r="C608" s="117" t="s">
        <v>178</v>
      </c>
      <c r="D608" s="178">
        <f>D609</f>
        <v>82146</v>
      </c>
      <c r="H608" s="317"/>
    </row>
    <row r="609" spans="1:8" s="4" customFormat="1" ht="12.75">
      <c r="A609" s="64" t="s">
        <v>179</v>
      </c>
      <c r="B609" s="117" t="s">
        <v>662</v>
      </c>
      <c r="C609" s="117" t="s">
        <v>192</v>
      </c>
      <c r="D609" s="178">
        <f>79487.8+1622.2+413+623</f>
        <v>82146</v>
      </c>
      <c r="H609" s="317"/>
    </row>
    <row r="610" spans="1:8" s="4" customFormat="1" ht="25.5">
      <c r="A610" s="46" t="s">
        <v>665</v>
      </c>
      <c r="B610" s="117" t="s">
        <v>663</v>
      </c>
      <c r="C610" s="117"/>
      <c r="D610" s="178">
        <f>D611</f>
        <v>23425.65</v>
      </c>
      <c r="H610" s="317"/>
    </row>
    <row r="611" spans="1:8" s="4" customFormat="1" ht="12.75">
      <c r="A611" s="63" t="s">
        <v>227</v>
      </c>
      <c r="B611" s="117" t="s">
        <v>663</v>
      </c>
      <c r="C611" s="117" t="s">
        <v>178</v>
      </c>
      <c r="D611" s="178">
        <f>D612</f>
        <v>23425.65</v>
      </c>
      <c r="H611" s="317"/>
    </row>
    <row r="612" spans="1:8" s="4" customFormat="1" ht="12.75">
      <c r="A612" s="64" t="s">
        <v>179</v>
      </c>
      <c r="B612" s="117" t="s">
        <v>663</v>
      </c>
      <c r="C612" s="117" t="s">
        <v>192</v>
      </c>
      <c r="D612" s="178">
        <v>23425.65</v>
      </c>
      <c r="H612" s="317"/>
    </row>
    <row r="613" spans="1:8" s="4" customFormat="1" ht="38.25">
      <c r="A613" s="46" t="s">
        <v>647</v>
      </c>
      <c r="B613" s="117" t="s">
        <v>646</v>
      </c>
      <c r="C613" s="117"/>
      <c r="D613" s="178">
        <f>D614</f>
        <v>29298.8</v>
      </c>
      <c r="H613" s="317"/>
    </row>
    <row r="614" spans="1:8" s="4" customFormat="1" ht="12.75">
      <c r="A614" s="63" t="s">
        <v>227</v>
      </c>
      <c r="B614" s="117" t="s">
        <v>646</v>
      </c>
      <c r="C614" s="117" t="s">
        <v>178</v>
      </c>
      <c r="D614" s="178">
        <f>D615</f>
        <v>29298.8</v>
      </c>
      <c r="H614" s="317"/>
    </row>
    <row r="615" spans="1:8" s="4" customFormat="1" ht="12.75">
      <c r="A615" s="64" t="s">
        <v>179</v>
      </c>
      <c r="B615" s="117" t="s">
        <v>646</v>
      </c>
      <c r="C615" s="117" t="s">
        <v>192</v>
      </c>
      <c r="D615" s="178">
        <v>29298.8</v>
      </c>
      <c r="H615" s="317"/>
    </row>
    <row r="616" spans="1:8" s="4" customFormat="1" ht="25.5">
      <c r="A616" s="46" t="s">
        <v>661</v>
      </c>
      <c r="B616" s="117" t="s">
        <v>660</v>
      </c>
      <c r="C616" s="117"/>
      <c r="D616" s="178">
        <f>D617</f>
        <v>25012.9</v>
      </c>
      <c r="H616" s="317"/>
    </row>
    <row r="617" spans="1:8" s="4" customFormat="1" ht="12.75">
      <c r="A617" s="63" t="s">
        <v>227</v>
      </c>
      <c r="B617" s="117" t="s">
        <v>660</v>
      </c>
      <c r="C617" s="117" t="s">
        <v>178</v>
      </c>
      <c r="D617" s="178">
        <f>D618</f>
        <v>25012.9</v>
      </c>
      <c r="H617" s="317"/>
    </row>
    <row r="618" spans="1:8" s="4" customFormat="1" ht="12.75">
      <c r="A618" s="64" t="s">
        <v>179</v>
      </c>
      <c r="B618" s="117" t="s">
        <v>660</v>
      </c>
      <c r="C618" s="117" t="s">
        <v>192</v>
      </c>
      <c r="D618" s="178">
        <v>25012.9</v>
      </c>
      <c r="H618" s="317"/>
    </row>
    <row r="619" spans="1:8" s="4" customFormat="1" ht="38.25">
      <c r="A619" s="64" t="s">
        <v>668</v>
      </c>
      <c r="B619" s="117" t="s">
        <v>667</v>
      </c>
      <c r="C619" s="117"/>
      <c r="D619" s="178">
        <f>D620</f>
        <v>29197.7</v>
      </c>
      <c r="H619" s="317"/>
    </row>
    <row r="620" spans="1:8" s="4" customFormat="1" ht="12.75">
      <c r="A620" s="63" t="s">
        <v>227</v>
      </c>
      <c r="B620" s="117" t="s">
        <v>667</v>
      </c>
      <c r="C620" s="117" t="s">
        <v>178</v>
      </c>
      <c r="D620" s="178">
        <f>D621</f>
        <v>29197.7</v>
      </c>
      <c r="H620" s="317"/>
    </row>
    <row r="621" spans="1:8" s="4" customFormat="1" ht="12.75">
      <c r="A621" s="64" t="s">
        <v>197</v>
      </c>
      <c r="B621" s="117" t="s">
        <v>667</v>
      </c>
      <c r="C621" s="117" t="s">
        <v>196</v>
      </c>
      <c r="D621" s="178">
        <v>29197.7</v>
      </c>
      <c r="H621" s="317"/>
    </row>
    <row r="622" spans="1:8" s="1" customFormat="1" ht="25.5">
      <c r="A622" s="46" t="s">
        <v>651</v>
      </c>
      <c r="B622" s="117" t="s">
        <v>650</v>
      </c>
      <c r="C622" s="117"/>
      <c r="D622" s="178">
        <f>D623</f>
        <v>2503.8</v>
      </c>
      <c r="H622" s="316"/>
    </row>
    <row r="623" spans="1:8" s="1" customFormat="1" ht="12.75">
      <c r="A623" s="63" t="s">
        <v>227</v>
      </c>
      <c r="B623" s="117" t="s">
        <v>650</v>
      </c>
      <c r="C623" s="117" t="s">
        <v>199</v>
      </c>
      <c r="D623" s="178">
        <f>D624</f>
        <v>2503.8</v>
      </c>
      <c r="E623" s="2"/>
      <c r="H623" s="316"/>
    </row>
    <row r="624" spans="1:8" s="1" customFormat="1" ht="12.75">
      <c r="A624" s="64" t="s">
        <v>179</v>
      </c>
      <c r="B624" s="117" t="s">
        <v>650</v>
      </c>
      <c r="C624" s="117" t="s">
        <v>200</v>
      </c>
      <c r="D624" s="178">
        <v>2503.8</v>
      </c>
      <c r="H624" s="316"/>
    </row>
    <row r="625" spans="1:8" s="1" customFormat="1" ht="25.5">
      <c r="A625" s="46" t="s">
        <v>659</v>
      </c>
      <c r="B625" s="117" t="s">
        <v>658</v>
      </c>
      <c r="C625" s="117"/>
      <c r="D625" s="178">
        <f>D626</f>
        <v>2997.1</v>
      </c>
      <c r="H625" s="316"/>
    </row>
    <row r="626" spans="1:8" s="1" customFormat="1" ht="12.75">
      <c r="A626" s="63" t="s">
        <v>227</v>
      </c>
      <c r="B626" s="117" t="s">
        <v>658</v>
      </c>
      <c r="C626" s="117" t="s">
        <v>199</v>
      </c>
      <c r="D626" s="178">
        <f>D627</f>
        <v>2997.1</v>
      </c>
      <c r="H626" s="316"/>
    </row>
    <row r="627" spans="1:8" s="1" customFormat="1" ht="12.75">
      <c r="A627" s="64" t="s">
        <v>179</v>
      </c>
      <c r="B627" s="117" t="s">
        <v>658</v>
      </c>
      <c r="C627" s="117" t="s">
        <v>200</v>
      </c>
      <c r="D627" s="178">
        <v>2997.1</v>
      </c>
      <c r="F627" s="7"/>
      <c r="H627" s="316"/>
    </row>
    <row r="628" spans="1:8" s="1" customFormat="1" ht="25.5">
      <c r="A628" s="46" t="s">
        <v>653</v>
      </c>
      <c r="B628" s="117" t="s">
        <v>652</v>
      </c>
      <c r="C628" s="117"/>
      <c r="D628" s="178">
        <f>D629</f>
        <v>1998.32</v>
      </c>
      <c r="H628" s="316"/>
    </row>
    <row r="629" spans="1:8" s="1" customFormat="1" ht="12.75">
      <c r="A629" s="63" t="s">
        <v>227</v>
      </c>
      <c r="B629" s="117" t="s">
        <v>652</v>
      </c>
      <c r="C629" s="117" t="s">
        <v>199</v>
      </c>
      <c r="D629" s="178">
        <f>D630</f>
        <v>1998.32</v>
      </c>
      <c r="H629" s="316"/>
    </row>
    <row r="630" spans="1:8" s="1" customFormat="1" ht="12.75">
      <c r="A630" s="64" t="s">
        <v>179</v>
      </c>
      <c r="B630" s="117" t="s">
        <v>652</v>
      </c>
      <c r="C630" s="117" t="s">
        <v>200</v>
      </c>
      <c r="D630" s="178">
        <v>1998.32</v>
      </c>
      <c r="H630" s="316"/>
    </row>
    <row r="631" spans="1:8" s="1" customFormat="1" ht="25.5">
      <c r="A631" s="46" t="s">
        <v>655</v>
      </c>
      <c r="B631" s="117" t="s">
        <v>654</v>
      </c>
      <c r="C631" s="117"/>
      <c r="D631" s="178">
        <f>D632</f>
        <v>970.72</v>
      </c>
      <c r="H631" s="316"/>
    </row>
    <row r="632" spans="1:8" s="1" customFormat="1" ht="12.75">
      <c r="A632" s="63" t="s">
        <v>227</v>
      </c>
      <c r="B632" s="117" t="s">
        <v>654</v>
      </c>
      <c r="C632" s="117" t="s">
        <v>199</v>
      </c>
      <c r="D632" s="178">
        <f>D633</f>
        <v>970.72</v>
      </c>
      <c r="H632" s="316"/>
    </row>
    <row r="633" spans="1:8" s="1" customFormat="1" ht="12.75">
      <c r="A633" s="64" t="s">
        <v>179</v>
      </c>
      <c r="B633" s="117" t="s">
        <v>654</v>
      </c>
      <c r="C633" s="117" t="s">
        <v>200</v>
      </c>
      <c r="D633" s="178">
        <v>970.72</v>
      </c>
      <c r="H633" s="316"/>
    </row>
    <row r="634" spans="1:8" s="1" customFormat="1" ht="25.5">
      <c r="A634" s="46" t="s">
        <v>657</v>
      </c>
      <c r="B634" s="117" t="s">
        <v>656</v>
      </c>
      <c r="C634" s="117"/>
      <c r="D634" s="178">
        <f>D635</f>
        <v>2997.1</v>
      </c>
      <c r="H634" s="316"/>
    </row>
    <row r="635" spans="1:8" s="1" customFormat="1" ht="12.75">
      <c r="A635" s="63" t="s">
        <v>227</v>
      </c>
      <c r="B635" s="117" t="s">
        <v>656</v>
      </c>
      <c r="C635" s="117" t="s">
        <v>199</v>
      </c>
      <c r="D635" s="178">
        <f>D636</f>
        <v>2997.1</v>
      </c>
      <c r="H635" s="316"/>
    </row>
    <row r="636" spans="1:8" s="1" customFormat="1" ht="12.75">
      <c r="A636" s="64" t="s">
        <v>179</v>
      </c>
      <c r="B636" s="117" t="s">
        <v>656</v>
      </c>
      <c r="C636" s="117" t="s">
        <v>200</v>
      </c>
      <c r="D636" s="178">
        <v>2997.1</v>
      </c>
      <c r="H636" s="316"/>
    </row>
    <row r="637" spans="1:8" s="1" customFormat="1" ht="12.75">
      <c r="A637" s="46" t="s">
        <v>280</v>
      </c>
      <c r="B637" s="117" t="s">
        <v>282</v>
      </c>
      <c r="C637" s="117"/>
      <c r="D637" s="178">
        <f>D638</f>
        <v>600</v>
      </c>
      <c r="H637" s="316"/>
    </row>
    <row r="638" spans="1:8" s="1" customFormat="1" ht="12.75">
      <c r="A638" s="60" t="s">
        <v>226</v>
      </c>
      <c r="B638" s="117" t="s">
        <v>282</v>
      </c>
      <c r="C638" s="117" t="s">
        <v>188</v>
      </c>
      <c r="D638" s="178">
        <f>D639</f>
        <v>600</v>
      </c>
      <c r="H638" s="316"/>
    </row>
    <row r="639" spans="1:8" s="6" customFormat="1" ht="12.75">
      <c r="A639" s="60" t="s">
        <v>189</v>
      </c>
      <c r="B639" s="117" t="s">
        <v>282</v>
      </c>
      <c r="C639" s="117" t="s">
        <v>187</v>
      </c>
      <c r="D639" s="178">
        <v>600</v>
      </c>
      <c r="H639" s="322"/>
    </row>
    <row r="640" spans="1:8" s="6" customFormat="1" ht="12.75">
      <c r="A640" s="128" t="s">
        <v>469</v>
      </c>
      <c r="B640" s="127" t="s">
        <v>236</v>
      </c>
      <c r="C640" s="134"/>
      <c r="D640" s="193">
        <f>D641+D648</f>
        <v>4214.245</v>
      </c>
      <c r="H640" s="322"/>
    </row>
    <row r="641" spans="1:8" s="6" customFormat="1" ht="12.75">
      <c r="A641" s="142" t="s">
        <v>201</v>
      </c>
      <c r="B641" s="116" t="s">
        <v>237</v>
      </c>
      <c r="C641" s="116"/>
      <c r="D641" s="184">
        <f>D642+D645</f>
        <v>3164.245</v>
      </c>
      <c r="H641" s="322"/>
    </row>
    <row r="642" spans="1:8" s="6" customFormat="1" ht="12.75">
      <c r="A642" s="64" t="s">
        <v>107</v>
      </c>
      <c r="B642" s="117" t="s">
        <v>238</v>
      </c>
      <c r="C642" s="117"/>
      <c r="D642" s="178">
        <f>D643</f>
        <v>182.5</v>
      </c>
      <c r="H642" s="322"/>
    </row>
    <row r="643" spans="1:8" s="1" customFormat="1" ht="25.5">
      <c r="A643" s="64" t="s">
        <v>190</v>
      </c>
      <c r="B643" s="117" t="s">
        <v>238</v>
      </c>
      <c r="C643" s="117" t="s">
        <v>178</v>
      </c>
      <c r="D643" s="178">
        <f>D644</f>
        <v>182.5</v>
      </c>
      <c r="H643" s="316"/>
    </row>
    <row r="644" spans="1:8" s="1" customFormat="1" ht="12.75">
      <c r="A644" s="64" t="s">
        <v>191</v>
      </c>
      <c r="B644" s="117" t="s">
        <v>238</v>
      </c>
      <c r="C644" s="117" t="s">
        <v>192</v>
      </c>
      <c r="D644" s="178">
        <v>182.5</v>
      </c>
      <c r="H644" s="316"/>
    </row>
    <row r="645" spans="1:8" s="1" customFormat="1" ht="38.25">
      <c r="A645" s="64" t="s">
        <v>468</v>
      </c>
      <c r="B645" s="117" t="s">
        <v>242</v>
      </c>
      <c r="C645" s="117"/>
      <c r="D645" s="178">
        <f>D646</f>
        <v>2981.745</v>
      </c>
      <c r="H645" s="316"/>
    </row>
    <row r="646" spans="1:8" s="1" customFormat="1" ht="25.5">
      <c r="A646" s="64" t="s">
        <v>190</v>
      </c>
      <c r="B646" s="117" t="s">
        <v>242</v>
      </c>
      <c r="C646" s="117" t="s">
        <v>178</v>
      </c>
      <c r="D646" s="178">
        <f>SUM(D647:D647)</f>
        <v>2981.745</v>
      </c>
      <c r="H646" s="316"/>
    </row>
    <row r="647" spans="1:8" s="1" customFormat="1" ht="12.75">
      <c r="A647" s="64" t="s">
        <v>191</v>
      </c>
      <c r="B647" s="117" t="s">
        <v>242</v>
      </c>
      <c r="C647" s="117" t="s">
        <v>192</v>
      </c>
      <c r="D647" s="178">
        <v>2981.745</v>
      </c>
      <c r="H647" s="316"/>
    </row>
    <row r="648" spans="1:8" s="1" customFormat="1" ht="25.5">
      <c r="A648" s="142" t="s">
        <v>551</v>
      </c>
      <c r="B648" s="116" t="s">
        <v>239</v>
      </c>
      <c r="C648" s="116"/>
      <c r="D648" s="184">
        <f>D649+D652+D655</f>
        <v>1050</v>
      </c>
      <c r="H648" s="316"/>
    </row>
    <row r="649" spans="1:8" s="1" customFormat="1" ht="12.75">
      <c r="A649" s="64" t="s">
        <v>266</v>
      </c>
      <c r="B649" s="117" t="s">
        <v>284</v>
      </c>
      <c r="C649" s="117"/>
      <c r="D649" s="178">
        <f>D650</f>
        <v>500</v>
      </c>
      <c r="H649" s="316"/>
    </row>
    <row r="650" spans="1:8" s="1" customFormat="1" ht="25.5">
      <c r="A650" s="64" t="s">
        <v>190</v>
      </c>
      <c r="B650" s="117" t="s">
        <v>284</v>
      </c>
      <c r="C650" s="117" t="s">
        <v>178</v>
      </c>
      <c r="D650" s="178">
        <f>D651</f>
        <v>500</v>
      </c>
      <c r="H650" s="316"/>
    </row>
    <row r="651" spans="1:8" s="1" customFormat="1" ht="12.75">
      <c r="A651" s="64" t="s">
        <v>197</v>
      </c>
      <c r="B651" s="117" t="s">
        <v>284</v>
      </c>
      <c r="C651" s="117" t="s">
        <v>196</v>
      </c>
      <c r="D651" s="178">
        <v>500</v>
      </c>
      <c r="H651" s="316"/>
    </row>
    <row r="652" spans="1:8" s="1" customFormat="1" ht="12.75">
      <c r="A652" s="64" t="s">
        <v>268</v>
      </c>
      <c r="B652" s="117" t="s">
        <v>283</v>
      </c>
      <c r="C652" s="117"/>
      <c r="D652" s="178">
        <f>D653</f>
        <v>450</v>
      </c>
      <c r="H652" s="316"/>
    </row>
    <row r="653" spans="1:8" s="1" customFormat="1" ht="25.5">
      <c r="A653" s="64" t="s">
        <v>190</v>
      </c>
      <c r="B653" s="117" t="s">
        <v>283</v>
      </c>
      <c r="C653" s="117" t="s">
        <v>178</v>
      </c>
      <c r="D653" s="178">
        <f>D654</f>
        <v>450</v>
      </c>
      <c r="H653" s="316"/>
    </row>
    <row r="654" spans="1:8" s="1" customFormat="1" ht="12.75">
      <c r="A654" s="64" t="s">
        <v>197</v>
      </c>
      <c r="B654" s="117" t="s">
        <v>283</v>
      </c>
      <c r="C654" s="117" t="s">
        <v>196</v>
      </c>
      <c r="D654" s="178">
        <v>450</v>
      </c>
      <c r="H654" s="316"/>
    </row>
    <row r="655" spans="1:8" s="1" customFormat="1" ht="12.75">
      <c r="A655" s="64" t="s">
        <v>269</v>
      </c>
      <c r="B655" s="117" t="s">
        <v>360</v>
      </c>
      <c r="C655" s="117"/>
      <c r="D655" s="178">
        <f>D656</f>
        <v>100</v>
      </c>
      <c r="H655" s="316"/>
    </row>
    <row r="656" spans="1:8" s="1" customFormat="1" ht="25.5">
      <c r="A656" s="64" t="s">
        <v>190</v>
      </c>
      <c r="B656" s="117" t="s">
        <v>360</v>
      </c>
      <c r="C656" s="117" t="s">
        <v>178</v>
      </c>
      <c r="D656" s="178">
        <f>D657</f>
        <v>100</v>
      </c>
      <c r="H656" s="316"/>
    </row>
    <row r="657" spans="1:8" s="1" customFormat="1" ht="12.75">
      <c r="A657" s="64" t="s">
        <v>197</v>
      </c>
      <c r="B657" s="117" t="s">
        <v>360</v>
      </c>
      <c r="C657" s="117" t="s">
        <v>196</v>
      </c>
      <c r="D657" s="178">
        <v>100</v>
      </c>
      <c r="H657" s="316"/>
    </row>
    <row r="658" spans="1:8" s="1" customFormat="1" ht="25.5">
      <c r="A658" s="109" t="s">
        <v>461</v>
      </c>
      <c r="B658" s="133" t="s">
        <v>41</v>
      </c>
      <c r="C658" s="127"/>
      <c r="D658" s="177">
        <f>D666+D671+D684+D689+D694+D697+D681+D659+D676</f>
        <v>77271.40000000001</v>
      </c>
      <c r="H658" s="316"/>
    </row>
    <row r="659" spans="1:8" s="1" customFormat="1" ht="12.75">
      <c r="A659" s="50" t="s">
        <v>106</v>
      </c>
      <c r="B659" s="121" t="s">
        <v>253</v>
      </c>
      <c r="C659" s="117"/>
      <c r="D659" s="178">
        <f>D660+D662+D664</f>
        <v>23305</v>
      </c>
      <c r="H659" s="316"/>
    </row>
    <row r="660" spans="1:8" s="1" customFormat="1" ht="38.25">
      <c r="A660" s="60" t="s">
        <v>116</v>
      </c>
      <c r="B660" s="121" t="s">
        <v>253</v>
      </c>
      <c r="C660" s="117" t="s">
        <v>198</v>
      </c>
      <c r="D660" s="178">
        <f>D661</f>
        <v>8281.3</v>
      </c>
      <c r="H660" s="316"/>
    </row>
    <row r="661" spans="1:8" s="1" customFormat="1" ht="12.75">
      <c r="A661" s="60" t="s">
        <v>255</v>
      </c>
      <c r="B661" s="121" t="s">
        <v>253</v>
      </c>
      <c r="C661" s="117" t="s">
        <v>254</v>
      </c>
      <c r="D661" s="178">
        <f>7747.3+534</f>
        <v>8281.3</v>
      </c>
      <c r="H661" s="316"/>
    </row>
    <row r="662" spans="1:8" s="1" customFormat="1" ht="12.75">
      <c r="A662" s="60" t="s">
        <v>226</v>
      </c>
      <c r="B662" s="121" t="s">
        <v>253</v>
      </c>
      <c r="C662" s="117" t="s">
        <v>188</v>
      </c>
      <c r="D662" s="178">
        <f>D663</f>
        <v>14772.7</v>
      </c>
      <c r="H662" s="316"/>
    </row>
    <row r="663" spans="1:8" s="1" customFormat="1" ht="12.75">
      <c r="A663" s="60" t="s">
        <v>189</v>
      </c>
      <c r="B663" s="121" t="s">
        <v>253</v>
      </c>
      <c r="C663" s="117" t="s">
        <v>187</v>
      </c>
      <c r="D663" s="178">
        <f>14525.1+247.6</f>
        <v>14772.7</v>
      </c>
      <c r="H663" s="316"/>
    </row>
    <row r="664" spans="1:8" s="1" customFormat="1" ht="12.75">
      <c r="A664" s="63" t="s">
        <v>90</v>
      </c>
      <c r="B664" s="121" t="s">
        <v>253</v>
      </c>
      <c r="C664" s="117" t="s">
        <v>87</v>
      </c>
      <c r="D664" s="178">
        <f>D665</f>
        <v>251</v>
      </c>
      <c r="H664" s="316"/>
    </row>
    <row r="665" spans="1:8" s="1" customFormat="1" ht="12.75">
      <c r="A665" s="63" t="s">
        <v>209</v>
      </c>
      <c r="B665" s="121" t="s">
        <v>253</v>
      </c>
      <c r="C665" s="117" t="s">
        <v>210</v>
      </c>
      <c r="D665" s="178">
        <v>251</v>
      </c>
      <c r="H665" s="316"/>
    </row>
    <row r="666" spans="1:8" s="1" customFormat="1" ht="12.75">
      <c r="A666" s="50" t="s">
        <v>115</v>
      </c>
      <c r="B666" s="121" t="s">
        <v>42</v>
      </c>
      <c r="C666" s="117"/>
      <c r="D666" s="178">
        <f>D667+D669</f>
        <v>47945.200000000004</v>
      </c>
      <c r="E666" s="2"/>
      <c r="H666" s="316"/>
    </row>
    <row r="667" spans="1:8" s="1" customFormat="1" ht="38.25">
      <c r="A667" s="60" t="s">
        <v>116</v>
      </c>
      <c r="B667" s="121" t="s">
        <v>42</v>
      </c>
      <c r="C667" s="117" t="s">
        <v>198</v>
      </c>
      <c r="D667" s="178">
        <f>D668</f>
        <v>47187.9</v>
      </c>
      <c r="H667" s="316"/>
    </row>
    <row r="668" spans="1:8" s="1" customFormat="1" ht="12.75">
      <c r="A668" s="63" t="s">
        <v>193</v>
      </c>
      <c r="B668" s="121" t="s">
        <v>42</v>
      </c>
      <c r="C668" s="117" t="s">
        <v>194</v>
      </c>
      <c r="D668" s="178">
        <v>47187.9</v>
      </c>
      <c r="H668" s="316"/>
    </row>
    <row r="669" spans="1:8" s="1" customFormat="1" ht="12.75">
      <c r="A669" s="60" t="s">
        <v>226</v>
      </c>
      <c r="B669" s="121" t="s">
        <v>42</v>
      </c>
      <c r="C669" s="117" t="s">
        <v>188</v>
      </c>
      <c r="D669" s="178">
        <f>D670</f>
        <v>757.3</v>
      </c>
      <c r="H669" s="316"/>
    </row>
    <row r="670" spans="1:8" s="1" customFormat="1" ht="12.75">
      <c r="A670" s="60" t="s">
        <v>189</v>
      </c>
      <c r="B670" s="121" t="s">
        <v>42</v>
      </c>
      <c r="C670" s="117" t="s">
        <v>187</v>
      </c>
      <c r="D670" s="178">
        <v>757.3</v>
      </c>
      <c r="H670" s="316"/>
    </row>
    <row r="671" spans="1:8" s="1" customFormat="1" ht="41.25" customHeight="1">
      <c r="A671" s="46" t="s">
        <v>92</v>
      </c>
      <c r="B671" s="117" t="s">
        <v>53</v>
      </c>
      <c r="C671" s="117"/>
      <c r="D671" s="178">
        <f>SUM(D672,D674)</f>
        <v>2015</v>
      </c>
      <c r="H671" s="316"/>
    </row>
    <row r="672" spans="1:8" s="1" customFormat="1" ht="12.75">
      <c r="A672" s="60" t="s">
        <v>226</v>
      </c>
      <c r="B672" s="117" t="s">
        <v>53</v>
      </c>
      <c r="C672" s="117" t="s">
        <v>188</v>
      </c>
      <c r="D672" s="178">
        <f>D673</f>
        <v>1980</v>
      </c>
      <c r="H672" s="316"/>
    </row>
    <row r="673" spans="1:8" s="1" customFormat="1" ht="12.75">
      <c r="A673" s="60" t="s">
        <v>189</v>
      </c>
      <c r="B673" s="117" t="s">
        <v>53</v>
      </c>
      <c r="C673" s="117" t="s">
        <v>187</v>
      </c>
      <c r="D673" s="178">
        <v>1980</v>
      </c>
      <c r="H673" s="316"/>
    </row>
    <row r="674" spans="1:8" s="1" customFormat="1" ht="12.75">
      <c r="A674" s="63" t="s">
        <v>90</v>
      </c>
      <c r="B674" s="117" t="s">
        <v>53</v>
      </c>
      <c r="C674" s="117" t="s">
        <v>87</v>
      </c>
      <c r="D674" s="178">
        <f>D675</f>
        <v>35</v>
      </c>
      <c r="H674" s="316"/>
    </row>
    <row r="675" spans="1:8" s="1" customFormat="1" ht="12.75">
      <c r="A675" s="63" t="s">
        <v>209</v>
      </c>
      <c r="B675" s="117" t="s">
        <v>53</v>
      </c>
      <c r="C675" s="117" t="s">
        <v>210</v>
      </c>
      <c r="D675" s="178">
        <v>35</v>
      </c>
      <c r="H675" s="316"/>
    </row>
    <row r="676" spans="1:8" s="1" customFormat="1" ht="25.5">
      <c r="A676" s="63" t="s">
        <v>100</v>
      </c>
      <c r="B676" s="114" t="s">
        <v>471</v>
      </c>
      <c r="C676" s="117"/>
      <c r="D676" s="178">
        <f>D677+D679</f>
        <v>664.05</v>
      </c>
      <c r="H676" s="316"/>
    </row>
    <row r="677" spans="1:8" s="1" customFormat="1" ht="38.25">
      <c r="A677" s="60" t="s">
        <v>116</v>
      </c>
      <c r="B677" s="114" t="s">
        <v>471</v>
      </c>
      <c r="C677" s="117" t="s">
        <v>198</v>
      </c>
      <c r="D677" s="178">
        <f>D678</f>
        <v>613.55</v>
      </c>
      <c r="H677" s="316"/>
    </row>
    <row r="678" spans="1:8" s="1" customFormat="1" ht="12.75">
      <c r="A678" s="63" t="s">
        <v>193</v>
      </c>
      <c r="B678" s="114" t="s">
        <v>471</v>
      </c>
      <c r="C678" s="117" t="s">
        <v>194</v>
      </c>
      <c r="D678" s="178">
        <v>613.55</v>
      </c>
      <c r="H678" s="316"/>
    </row>
    <row r="679" spans="1:8" s="1" customFormat="1" ht="12.75">
      <c r="A679" s="60" t="s">
        <v>226</v>
      </c>
      <c r="B679" s="114" t="s">
        <v>471</v>
      </c>
      <c r="C679" s="117" t="s">
        <v>188</v>
      </c>
      <c r="D679" s="178">
        <f>D680</f>
        <v>50.5</v>
      </c>
      <c r="H679" s="316"/>
    </row>
    <row r="680" spans="1:8" s="1" customFormat="1" ht="12.75">
      <c r="A680" s="60" t="s">
        <v>189</v>
      </c>
      <c r="B680" s="114" t="s">
        <v>471</v>
      </c>
      <c r="C680" s="117" t="s">
        <v>187</v>
      </c>
      <c r="D680" s="178">
        <v>50.5</v>
      </c>
      <c r="H680" s="316"/>
    </row>
    <row r="681" spans="1:8" s="1" customFormat="1" ht="25.5">
      <c r="A681" s="74" t="s">
        <v>247</v>
      </c>
      <c r="B681" s="121" t="s">
        <v>248</v>
      </c>
      <c r="C681" s="117"/>
      <c r="D681" s="178">
        <f>D682</f>
        <v>1.3</v>
      </c>
      <c r="H681" s="316"/>
    </row>
    <row r="682" spans="1:8" s="1" customFormat="1" ht="12.75">
      <c r="A682" s="60" t="s">
        <v>226</v>
      </c>
      <c r="B682" s="121" t="s">
        <v>248</v>
      </c>
      <c r="C682" s="117" t="s">
        <v>188</v>
      </c>
      <c r="D682" s="178">
        <f>D683</f>
        <v>1.3</v>
      </c>
      <c r="H682" s="316"/>
    </row>
    <row r="683" spans="1:8" s="1" customFormat="1" ht="12.75">
      <c r="A683" s="60" t="s">
        <v>189</v>
      </c>
      <c r="B683" s="121" t="s">
        <v>248</v>
      </c>
      <c r="C683" s="117" t="s">
        <v>187</v>
      </c>
      <c r="D683" s="178">
        <v>1.3</v>
      </c>
      <c r="H683" s="316"/>
    </row>
    <row r="684" spans="1:8" s="6" customFormat="1" ht="25.5">
      <c r="A684" s="312" t="s">
        <v>119</v>
      </c>
      <c r="B684" s="121" t="s">
        <v>260</v>
      </c>
      <c r="C684" s="117"/>
      <c r="D684" s="178">
        <f>D685+D687</f>
        <v>1880.8</v>
      </c>
      <c r="H684" s="322"/>
    </row>
    <row r="685" spans="1:8" s="6" customFormat="1" ht="38.25">
      <c r="A685" s="60" t="s">
        <v>116</v>
      </c>
      <c r="B685" s="121" t="s">
        <v>260</v>
      </c>
      <c r="C685" s="117" t="s">
        <v>198</v>
      </c>
      <c r="D685" s="178">
        <f>D686</f>
        <v>1740.8</v>
      </c>
      <c r="H685" s="322"/>
    </row>
    <row r="686" spans="1:8" s="6" customFormat="1" ht="12.75">
      <c r="A686" s="63" t="s">
        <v>193</v>
      </c>
      <c r="B686" s="121" t="s">
        <v>260</v>
      </c>
      <c r="C686" s="117" t="s">
        <v>194</v>
      </c>
      <c r="D686" s="178">
        <v>1740.8</v>
      </c>
      <c r="H686" s="322"/>
    </row>
    <row r="687" spans="1:8" s="6" customFormat="1" ht="12.75">
      <c r="A687" s="60" t="s">
        <v>226</v>
      </c>
      <c r="B687" s="121" t="s">
        <v>260</v>
      </c>
      <c r="C687" s="117" t="s">
        <v>188</v>
      </c>
      <c r="D687" s="178">
        <f>D688</f>
        <v>140</v>
      </c>
      <c r="H687" s="322"/>
    </row>
    <row r="688" spans="1:8" s="6" customFormat="1" ht="12.75">
      <c r="A688" s="60" t="s">
        <v>189</v>
      </c>
      <c r="B688" s="121" t="s">
        <v>260</v>
      </c>
      <c r="C688" s="117" t="s">
        <v>187</v>
      </c>
      <c r="D688" s="178">
        <v>140</v>
      </c>
      <c r="H688" s="322"/>
    </row>
    <row r="689" spans="1:8" s="6" customFormat="1" ht="12.75">
      <c r="A689" s="46" t="s">
        <v>99</v>
      </c>
      <c r="B689" s="122" t="s">
        <v>340</v>
      </c>
      <c r="C689" s="117"/>
      <c r="D689" s="178">
        <f>D692+D690</f>
        <v>975.55</v>
      </c>
      <c r="H689" s="322"/>
    </row>
    <row r="690" spans="1:8" s="6" customFormat="1" ht="38.25">
      <c r="A690" s="60" t="s">
        <v>116</v>
      </c>
      <c r="B690" s="122" t="s">
        <v>340</v>
      </c>
      <c r="C690" s="117" t="s">
        <v>198</v>
      </c>
      <c r="D690" s="178">
        <f>D691</f>
        <v>800.55</v>
      </c>
      <c r="H690" s="322"/>
    </row>
    <row r="691" spans="1:8" s="6" customFormat="1" ht="12.75">
      <c r="A691" s="63" t="s">
        <v>193</v>
      </c>
      <c r="B691" s="122" t="s">
        <v>340</v>
      </c>
      <c r="C691" s="117" t="s">
        <v>194</v>
      </c>
      <c r="D691" s="178">
        <v>800.55</v>
      </c>
      <c r="H691" s="322"/>
    </row>
    <row r="692" spans="1:8" s="6" customFormat="1" ht="12.75">
      <c r="A692" s="60" t="s">
        <v>226</v>
      </c>
      <c r="B692" s="122" t="s">
        <v>340</v>
      </c>
      <c r="C692" s="117" t="s">
        <v>188</v>
      </c>
      <c r="D692" s="178">
        <f>D693</f>
        <v>175</v>
      </c>
      <c r="H692" s="322"/>
    </row>
    <row r="693" spans="1:8" s="6" customFormat="1" ht="12.75">
      <c r="A693" s="60" t="s">
        <v>189</v>
      </c>
      <c r="B693" s="122" t="s">
        <v>340</v>
      </c>
      <c r="C693" s="117" t="s">
        <v>187</v>
      </c>
      <c r="D693" s="178">
        <v>175</v>
      </c>
      <c r="H693" s="322"/>
    </row>
    <row r="694" spans="1:8" s="6" customFormat="1" ht="38.25">
      <c r="A694" s="60" t="s">
        <v>120</v>
      </c>
      <c r="B694" s="122" t="s">
        <v>46</v>
      </c>
      <c r="C694" s="117"/>
      <c r="D694" s="178">
        <f>D695</f>
        <v>7</v>
      </c>
      <c r="H694" s="322"/>
    </row>
    <row r="695" spans="1:8" s="6" customFormat="1" ht="12.75">
      <c r="A695" s="60" t="s">
        <v>226</v>
      </c>
      <c r="B695" s="122" t="s">
        <v>46</v>
      </c>
      <c r="C695" s="117" t="s">
        <v>188</v>
      </c>
      <c r="D695" s="178">
        <f>D696</f>
        <v>7</v>
      </c>
      <c r="H695" s="322"/>
    </row>
    <row r="696" spans="1:8" s="6" customFormat="1" ht="12.75">
      <c r="A696" s="60" t="s">
        <v>189</v>
      </c>
      <c r="B696" s="122" t="s">
        <v>46</v>
      </c>
      <c r="C696" s="117" t="s">
        <v>187</v>
      </c>
      <c r="D696" s="178">
        <v>7</v>
      </c>
      <c r="H696" s="322"/>
    </row>
    <row r="697" spans="1:8" s="6" customFormat="1" ht="12.75">
      <c r="A697" s="312" t="s">
        <v>118</v>
      </c>
      <c r="B697" s="121" t="s">
        <v>47</v>
      </c>
      <c r="C697" s="117"/>
      <c r="D697" s="178">
        <f>D698+D700</f>
        <v>477.5</v>
      </c>
      <c r="H697" s="322"/>
    </row>
    <row r="698" spans="1:8" s="6" customFormat="1" ht="38.25">
      <c r="A698" s="60" t="s">
        <v>116</v>
      </c>
      <c r="B698" s="121" t="s">
        <v>47</v>
      </c>
      <c r="C698" s="117" t="s">
        <v>198</v>
      </c>
      <c r="D698" s="178">
        <f>D699</f>
        <v>442.5</v>
      </c>
      <c r="H698" s="322"/>
    </row>
    <row r="699" spans="1:8" s="6" customFormat="1" ht="12.75">
      <c r="A699" s="63" t="s">
        <v>193</v>
      </c>
      <c r="B699" s="121" t="s">
        <v>47</v>
      </c>
      <c r="C699" s="117" t="s">
        <v>194</v>
      </c>
      <c r="D699" s="178">
        <f>400.3+42.2</f>
        <v>442.5</v>
      </c>
      <c r="H699" s="322"/>
    </row>
    <row r="700" spans="1:8" s="6" customFormat="1" ht="12.75">
      <c r="A700" s="60" t="s">
        <v>226</v>
      </c>
      <c r="B700" s="121" t="s">
        <v>47</v>
      </c>
      <c r="C700" s="117" t="s">
        <v>188</v>
      </c>
      <c r="D700" s="178">
        <f>D701</f>
        <v>35</v>
      </c>
      <c r="H700" s="322"/>
    </row>
    <row r="701" spans="1:8" s="6" customFormat="1" ht="12.75">
      <c r="A701" s="60" t="s">
        <v>189</v>
      </c>
      <c r="B701" s="121" t="s">
        <v>47</v>
      </c>
      <c r="C701" s="117" t="s">
        <v>187</v>
      </c>
      <c r="D701" s="178">
        <v>35</v>
      </c>
      <c r="H701" s="322"/>
    </row>
    <row r="702" spans="1:8" s="6" customFormat="1" ht="25.5">
      <c r="A702" s="109" t="s">
        <v>492</v>
      </c>
      <c r="B702" s="133" t="s">
        <v>261</v>
      </c>
      <c r="C702" s="127"/>
      <c r="D702" s="177">
        <f>D703</f>
        <v>17526.8</v>
      </c>
      <c r="H702" s="322"/>
    </row>
    <row r="703" spans="1:8" s="6" customFormat="1" ht="12.75">
      <c r="A703" s="50" t="s">
        <v>115</v>
      </c>
      <c r="B703" s="121" t="s">
        <v>262</v>
      </c>
      <c r="C703" s="117"/>
      <c r="D703" s="178">
        <f>D704+D706</f>
        <v>17526.8</v>
      </c>
      <c r="H703" s="322"/>
    </row>
    <row r="704" spans="1:8" s="6" customFormat="1" ht="38.25">
      <c r="A704" s="60" t="s">
        <v>116</v>
      </c>
      <c r="B704" s="121" t="s">
        <v>262</v>
      </c>
      <c r="C704" s="117" t="s">
        <v>198</v>
      </c>
      <c r="D704" s="178">
        <f>D705</f>
        <v>16716.6</v>
      </c>
      <c r="H704" s="322"/>
    </row>
    <row r="705" spans="1:8" s="6" customFormat="1" ht="12.75">
      <c r="A705" s="63" t="s">
        <v>193</v>
      </c>
      <c r="B705" s="121" t="s">
        <v>262</v>
      </c>
      <c r="C705" s="117" t="s">
        <v>194</v>
      </c>
      <c r="D705" s="178">
        <v>16716.6</v>
      </c>
      <c r="H705" s="322"/>
    </row>
    <row r="706" spans="1:8" s="6" customFormat="1" ht="12.75">
      <c r="A706" s="60" t="s">
        <v>226</v>
      </c>
      <c r="B706" s="121" t="s">
        <v>262</v>
      </c>
      <c r="C706" s="117" t="s">
        <v>188</v>
      </c>
      <c r="D706" s="178">
        <f>D707</f>
        <v>810.2</v>
      </c>
      <c r="H706" s="322"/>
    </row>
    <row r="707" spans="1:8" s="6" customFormat="1" ht="12.75">
      <c r="A707" s="60" t="s">
        <v>189</v>
      </c>
      <c r="B707" s="121" t="s">
        <v>262</v>
      </c>
      <c r="C707" s="117" t="s">
        <v>187</v>
      </c>
      <c r="D707" s="178">
        <v>810.2</v>
      </c>
      <c r="H707" s="322"/>
    </row>
    <row r="708" spans="1:8" s="6" customFormat="1" ht="25.5">
      <c r="A708" s="128" t="s">
        <v>583</v>
      </c>
      <c r="B708" s="127" t="s">
        <v>342</v>
      </c>
      <c r="C708" s="134"/>
      <c r="D708" s="177">
        <f>D709+D712</f>
        <v>210</v>
      </c>
      <c r="H708" s="322"/>
    </row>
    <row r="709" spans="1:8" s="6" customFormat="1" ht="25.5">
      <c r="A709" s="46" t="s">
        <v>94</v>
      </c>
      <c r="B709" s="117" t="s">
        <v>347</v>
      </c>
      <c r="C709" s="172"/>
      <c r="D709" s="187">
        <f>D710</f>
        <v>10</v>
      </c>
      <c r="H709" s="322"/>
    </row>
    <row r="710" spans="1:8" s="6" customFormat="1" ht="12.75">
      <c r="A710" s="60" t="s">
        <v>226</v>
      </c>
      <c r="B710" s="117" t="s">
        <v>347</v>
      </c>
      <c r="C710" s="173">
        <v>200</v>
      </c>
      <c r="D710" s="183">
        <f>D711</f>
        <v>10</v>
      </c>
      <c r="H710" s="322"/>
    </row>
    <row r="711" spans="1:8" s="6" customFormat="1" ht="12.75">
      <c r="A711" s="60" t="s">
        <v>189</v>
      </c>
      <c r="B711" s="117" t="s">
        <v>347</v>
      </c>
      <c r="C711" s="173">
        <v>240</v>
      </c>
      <c r="D711" s="183">
        <v>10</v>
      </c>
      <c r="H711" s="322"/>
    </row>
    <row r="712" spans="1:8" s="6" customFormat="1" ht="25.5">
      <c r="A712" s="46" t="s">
        <v>629</v>
      </c>
      <c r="B712" s="302" t="s">
        <v>628</v>
      </c>
      <c r="C712" s="303"/>
      <c r="D712" s="183">
        <f>D713</f>
        <v>200</v>
      </c>
      <c r="H712" s="322"/>
    </row>
    <row r="713" spans="1:8" s="6" customFormat="1" ht="12.75">
      <c r="A713" s="60" t="s">
        <v>89</v>
      </c>
      <c r="B713" s="302" t="s">
        <v>628</v>
      </c>
      <c r="C713" s="173">
        <v>300</v>
      </c>
      <c r="D713" s="183">
        <f>D714</f>
        <v>200</v>
      </c>
      <c r="H713" s="322"/>
    </row>
    <row r="714" spans="1:8" s="6" customFormat="1" ht="12.75">
      <c r="A714" s="60" t="s">
        <v>424</v>
      </c>
      <c r="B714" s="302" t="s">
        <v>628</v>
      </c>
      <c r="C714" s="173">
        <v>310</v>
      </c>
      <c r="D714" s="183">
        <v>200</v>
      </c>
      <c r="H714" s="322"/>
    </row>
    <row r="715" spans="1:8" s="6" customFormat="1" ht="25.5">
      <c r="A715" s="109" t="s">
        <v>643</v>
      </c>
      <c r="B715" s="133" t="s">
        <v>362</v>
      </c>
      <c r="C715" s="127"/>
      <c r="D715" s="177">
        <f>D716</f>
        <v>10234.4</v>
      </c>
      <c r="H715" s="322"/>
    </row>
    <row r="716" spans="1:8" s="6" customFormat="1" ht="12.75">
      <c r="A716" s="50" t="s">
        <v>115</v>
      </c>
      <c r="B716" s="121" t="s">
        <v>363</v>
      </c>
      <c r="C716" s="117"/>
      <c r="D716" s="178">
        <f>D717+D719</f>
        <v>10234.4</v>
      </c>
      <c r="H716" s="322"/>
    </row>
    <row r="717" spans="1:8" s="6" customFormat="1" ht="38.25">
      <c r="A717" s="60" t="s">
        <v>116</v>
      </c>
      <c r="B717" s="121" t="s">
        <v>363</v>
      </c>
      <c r="C717" s="117" t="s">
        <v>198</v>
      </c>
      <c r="D717" s="178">
        <f>D718</f>
        <v>9958.9</v>
      </c>
      <c r="H717" s="322"/>
    </row>
    <row r="718" spans="1:8" s="6" customFormat="1" ht="12.75">
      <c r="A718" s="63" t="s">
        <v>193</v>
      </c>
      <c r="B718" s="121" t="s">
        <v>363</v>
      </c>
      <c r="C718" s="117" t="s">
        <v>194</v>
      </c>
      <c r="D718" s="178">
        <f>9795.6+163.3</f>
        <v>9958.9</v>
      </c>
      <c r="H718" s="322"/>
    </row>
    <row r="719" spans="1:8" s="6" customFormat="1" ht="12.75">
      <c r="A719" s="60" t="s">
        <v>226</v>
      </c>
      <c r="B719" s="121" t="s">
        <v>363</v>
      </c>
      <c r="C719" s="117" t="s">
        <v>188</v>
      </c>
      <c r="D719" s="178">
        <f>D720</f>
        <v>275.5</v>
      </c>
      <c r="H719" s="322"/>
    </row>
    <row r="720" spans="1:8" s="6" customFormat="1" ht="12.75">
      <c r="A720" s="60" t="s">
        <v>189</v>
      </c>
      <c r="B720" s="121" t="s">
        <v>363</v>
      </c>
      <c r="C720" s="117" t="s">
        <v>187</v>
      </c>
      <c r="D720" s="178">
        <v>275.5</v>
      </c>
      <c r="H720" s="322"/>
    </row>
    <row r="721" spans="1:8" s="6" customFormat="1" ht="25.5">
      <c r="A721" s="109" t="s">
        <v>322</v>
      </c>
      <c r="B721" s="127" t="s">
        <v>323</v>
      </c>
      <c r="C721" s="132"/>
      <c r="D721" s="193">
        <f>D722+D727+D732</f>
        <v>45737.1</v>
      </c>
      <c r="H721" s="322"/>
    </row>
    <row r="722" spans="1:8" s="6" customFormat="1" ht="51">
      <c r="A722" s="50" t="s">
        <v>326</v>
      </c>
      <c r="B722" s="117" t="s">
        <v>324</v>
      </c>
      <c r="C722" s="123"/>
      <c r="D722" s="183">
        <f>D723+D725</f>
        <v>42883.2</v>
      </c>
      <c r="H722" s="322"/>
    </row>
    <row r="723" spans="1:8" s="6" customFormat="1" ht="12.75">
      <c r="A723" s="60" t="s">
        <v>89</v>
      </c>
      <c r="B723" s="117" t="s">
        <v>324</v>
      </c>
      <c r="C723" s="117" t="s">
        <v>85</v>
      </c>
      <c r="D723" s="183">
        <f>D724</f>
        <v>21984.1</v>
      </c>
      <c r="H723" s="322"/>
    </row>
    <row r="724" spans="1:8" s="6" customFormat="1" ht="12.75">
      <c r="A724" s="61" t="s">
        <v>84</v>
      </c>
      <c r="B724" s="117" t="s">
        <v>324</v>
      </c>
      <c r="C724" s="117" t="s">
        <v>86</v>
      </c>
      <c r="D724" s="186">
        <v>21984.1</v>
      </c>
      <c r="H724" s="322"/>
    </row>
    <row r="725" spans="1:8" s="6" customFormat="1" ht="12.75">
      <c r="A725" s="46" t="s">
        <v>90</v>
      </c>
      <c r="B725" s="117" t="s">
        <v>324</v>
      </c>
      <c r="C725" s="117" t="s">
        <v>87</v>
      </c>
      <c r="D725" s="183">
        <f>D726</f>
        <v>20899.1</v>
      </c>
      <c r="H725" s="322"/>
    </row>
    <row r="726" spans="1:8" s="6" customFormat="1" ht="12.75">
      <c r="A726" s="64" t="s">
        <v>209</v>
      </c>
      <c r="B726" s="117" t="s">
        <v>324</v>
      </c>
      <c r="C726" s="117" t="s">
        <v>210</v>
      </c>
      <c r="D726" s="186">
        <v>20899.1</v>
      </c>
      <c r="H726" s="322"/>
    </row>
    <row r="727" spans="1:8" s="6" customFormat="1" ht="51">
      <c r="A727" s="50" t="s">
        <v>327</v>
      </c>
      <c r="B727" s="117" t="s">
        <v>325</v>
      </c>
      <c r="C727" s="123"/>
      <c r="D727" s="183">
        <f>D728+D730</f>
        <v>853.9</v>
      </c>
      <c r="H727" s="322"/>
    </row>
    <row r="728" spans="1:8" s="6" customFormat="1" ht="12.75">
      <c r="A728" s="60" t="s">
        <v>89</v>
      </c>
      <c r="B728" s="117" t="s">
        <v>325</v>
      </c>
      <c r="C728" s="117" t="s">
        <v>85</v>
      </c>
      <c r="D728" s="183">
        <f>D729</f>
        <v>448.7</v>
      </c>
      <c r="H728" s="322"/>
    </row>
    <row r="729" spans="1:8" s="6" customFormat="1" ht="12.75">
      <c r="A729" s="61" t="s">
        <v>84</v>
      </c>
      <c r="B729" s="117" t="s">
        <v>325</v>
      </c>
      <c r="C729" s="117" t="s">
        <v>86</v>
      </c>
      <c r="D729" s="186">
        <v>448.7</v>
      </c>
      <c r="H729" s="322"/>
    </row>
    <row r="730" spans="1:8" s="6" customFormat="1" ht="12.75">
      <c r="A730" s="46" t="s">
        <v>90</v>
      </c>
      <c r="B730" s="117" t="s">
        <v>325</v>
      </c>
      <c r="C730" s="117" t="s">
        <v>87</v>
      </c>
      <c r="D730" s="183">
        <f>D731</f>
        <v>405.2</v>
      </c>
      <c r="H730" s="322"/>
    </row>
    <row r="731" spans="1:8" s="6" customFormat="1" ht="12.75">
      <c r="A731" s="64" t="s">
        <v>209</v>
      </c>
      <c r="B731" s="117" t="s">
        <v>325</v>
      </c>
      <c r="C731" s="117" t="s">
        <v>210</v>
      </c>
      <c r="D731" s="186">
        <v>405.2</v>
      </c>
      <c r="H731" s="322"/>
    </row>
    <row r="732" spans="1:8" s="6" customFormat="1" ht="12.75">
      <c r="A732" s="50" t="s">
        <v>232</v>
      </c>
      <c r="B732" s="117" t="s">
        <v>622</v>
      </c>
      <c r="C732" s="123"/>
      <c r="D732" s="183">
        <f>D733</f>
        <v>2000</v>
      </c>
      <c r="H732" s="322"/>
    </row>
    <row r="733" spans="1:8" s="6" customFormat="1" ht="12.75">
      <c r="A733" s="63" t="s">
        <v>227</v>
      </c>
      <c r="B733" s="117" t="s">
        <v>622</v>
      </c>
      <c r="C733" s="117" t="s">
        <v>199</v>
      </c>
      <c r="D733" s="183">
        <f>D734</f>
        <v>2000</v>
      </c>
      <c r="H733" s="322"/>
    </row>
    <row r="734" spans="1:8" s="6" customFormat="1" ht="12.75">
      <c r="A734" s="64" t="s">
        <v>179</v>
      </c>
      <c r="B734" s="117" t="s">
        <v>622</v>
      </c>
      <c r="C734" s="117" t="s">
        <v>200</v>
      </c>
      <c r="D734" s="186">
        <v>2000</v>
      </c>
      <c r="H734" s="322"/>
    </row>
    <row r="735" spans="1:8" s="6" customFormat="1" ht="12.75">
      <c r="A735" s="109" t="s">
        <v>529</v>
      </c>
      <c r="B735" s="127" t="s">
        <v>67</v>
      </c>
      <c r="C735" s="132"/>
      <c r="D735" s="193">
        <f>D736+D740+D746</f>
        <v>7195.7</v>
      </c>
      <c r="H735" s="322"/>
    </row>
    <row r="736" spans="1:8" s="6" customFormat="1" ht="12.75">
      <c r="A736" s="50" t="s">
        <v>635</v>
      </c>
      <c r="B736" s="117" t="s">
        <v>68</v>
      </c>
      <c r="C736" s="123"/>
      <c r="D736" s="183">
        <f>D737</f>
        <v>2726.3</v>
      </c>
      <c r="H736" s="322"/>
    </row>
    <row r="737" spans="1:8" s="6" customFormat="1" ht="12.75">
      <c r="A737" s="46" t="s">
        <v>103</v>
      </c>
      <c r="B737" s="117" t="s">
        <v>69</v>
      </c>
      <c r="C737" s="123"/>
      <c r="D737" s="183">
        <f>D738</f>
        <v>2726.3</v>
      </c>
      <c r="H737" s="322"/>
    </row>
    <row r="738" spans="1:8" s="6" customFormat="1" ht="38.25">
      <c r="A738" s="60" t="s">
        <v>116</v>
      </c>
      <c r="B738" s="117" t="s">
        <v>69</v>
      </c>
      <c r="C738" s="117" t="s">
        <v>198</v>
      </c>
      <c r="D738" s="183">
        <f>D739</f>
        <v>2726.3</v>
      </c>
      <c r="H738" s="322"/>
    </row>
    <row r="739" spans="1:8" s="6" customFormat="1" ht="12.75">
      <c r="A739" s="63" t="s">
        <v>193</v>
      </c>
      <c r="B739" s="117" t="s">
        <v>69</v>
      </c>
      <c r="C739" s="117" t="s">
        <v>194</v>
      </c>
      <c r="D739" s="186">
        <f>1660+1066.3</f>
        <v>2726.3</v>
      </c>
      <c r="H739" s="322"/>
    </row>
    <row r="740" spans="1:8" s="6" customFormat="1" ht="12.75">
      <c r="A740" s="74" t="s">
        <v>520</v>
      </c>
      <c r="B740" s="117" t="s">
        <v>636</v>
      </c>
      <c r="C740" s="117"/>
      <c r="D740" s="186">
        <f>D741</f>
        <v>3749.3999999999996</v>
      </c>
      <c r="H740" s="322"/>
    </row>
    <row r="741" spans="1:8" s="6" customFormat="1" ht="12.75">
      <c r="A741" s="46" t="s">
        <v>103</v>
      </c>
      <c r="B741" s="117" t="s">
        <v>637</v>
      </c>
      <c r="C741" s="123"/>
      <c r="D741" s="183">
        <f>D742+D744</f>
        <v>3749.3999999999996</v>
      </c>
      <c r="H741" s="322"/>
    </row>
    <row r="742" spans="1:8" s="6" customFormat="1" ht="38.25">
      <c r="A742" s="60" t="s">
        <v>116</v>
      </c>
      <c r="B742" s="117" t="s">
        <v>637</v>
      </c>
      <c r="C742" s="117" t="s">
        <v>198</v>
      </c>
      <c r="D742" s="183">
        <f>D743</f>
        <v>3566.7</v>
      </c>
      <c r="H742" s="322"/>
    </row>
    <row r="743" spans="1:8" s="6" customFormat="1" ht="12.75">
      <c r="A743" s="63" t="s">
        <v>193</v>
      </c>
      <c r="B743" s="117" t="s">
        <v>637</v>
      </c>
      <c r="C743" s="117" t="s">
        <v>194</v>
      </c>
      <c r="D743" s="186">
        <f>1546+2020.7</f>
        <v>3566.7</v>
      </c>
      <c r="H743" s="322"/>
    </row>
    <row r="744" spans="1:8" s="6" customFormat="1" ht="12.75">
      <c r="A744" s="60" t="s">
        <v>226</v>
      </c>
      <c r="B744" s="117" t="s">
        <v>637</v>
      </c>
      <c r="C744" s="117" t="s">
        <v>188</v>
      </c>
      <c r="D744" s="178">
        <f>D745</f>
        <v>182.7</v>
      </c>
      <c r="H744" s="322"/>
    </row>
    <row r="745" spans="1:8" s="6" customFormat="1" ht="12.75">
      <c r="A745" s="60" t="s">
        <v>189</v>
      </c>
      <c r="B745" s="117" t="s">
        <v>637</v>
      </c>
      <c r="C745" s="117" t="s">
        <v>187</v>
      </c>
      <c r="D745" s="178">
        <v>182.7</v>
      </c>
      <c r="H745" s="322"/>
    </row>
    <row r="746" spans="1:8" s="6" customFormat="1" ht="12.75">
      <c r="A746" s="74" t="s">
        <v>520</v>
      </c>
      <c r="B746" s="117" t="s">
        <v>636</v>
      </c>
      <c r="C746" s="117"/>
      <c r="D746" s="178">
        <f>D747</f>
        <v>720</v>
      </c>
      <c r="H746" s="322"/>
    </row>
    <row r="747" spans="1:8" s="6" customFormat="1" ht="25.5">
      <c r="A747" s="46" t="s">
        <v>92</v>
      </c>
      <c r="B747" s="117" t="s">
        <v>638</v>
      </c>
      <c r="C747" s="117"/>
      <c r="D747" s="178">
        <f>D748</f>
        <v>720</v>
      </c>
      <c r="H747" s="322"/>
    </row>
    <row r="748" spans="1:8" s="6" customFormat="1" ht="38.25">
      <c r="A748" s="60" t="s">
        <v>116</v>
      </c>
      <c r="B748" s="117" t="s">
        <v>638</v>
      </c>
      <c r="C748" s="117" t="s">
        <v>198</v>
      </c>
      <c r="D748" s="178">
        <f>D749</f>
        <v>720</v>
      </c>
      <c r="H748" s="322"/>
    </row>
    <row r="749" spans="1:8" s="6" customFormat="1" ht="12.75">
      <c r="A749" s="60" t="s">
        <v>193</v>
      </c>
      <c r="B749" s="117" t="s">
        <v>638</v>
      </c>
      <c r="C749" s="117" t="s">
        <v>194</v>
      </c>
      <c r="D749" s="178">
        <v>720</v>
      </c>
      <c r="H749" s="322"/>
    </row>
    <row r="750" spans="1:4" s="6" customFormat="1" ht="25.5">
      <c r="A750" s="129" t="s">
        <v>527</v>
      </c>
      <c r="B750" s="127" t="s">
        <v>71</v>
      </c>
      <c r="C750" s="132"/>
      <c r="D750" s="193">
        <f>D751+D755</f>
        <v>2639.3</v>
      </c>
    </row>
    <row r="751" spans="1:8" s="6" customFormat="1" ht="25.5">
      <c r="A751" s="46" t="s">
        <v>639</v>
      </c>
      <c r="B751" s="117" t="s">
        <v>72</v>
      </c>
      <c r="C751" s="123"/>
      <c r="D751" s="183">
        <f>D752</f>
        <v>1451.9</v>
      </c>
      <c r="H751" s="322"/>
    </row>
    <row r="752" spans="1:8" s="18" customFormat="1" ht="12.75">
      <c r="A752" s="46" t="s">
        <v>103</v>
      </c>
      <c r="B752" s="117" t="s">
        <v>73</v>
      </c>
      <c r="C752" s="123"/>
      <c r="D752" s="183">
        <f>D753</f>
        <v>1451.9</v>
      </c>
      <c r="E752" s="18" t="s">
        <v>373</v>
      </c>
      <c r="H752" s="323"/>
    </row>
    <row r="753" spans="1:8" s="18" customFormat="1" ht="38.25">
      <c r="A753" s="60" t="s">
        <v>116</v>
      </c>
      <c r="B753" s="117" t="s">
        <v>73</v>
      </c>
      <c r="C753" s="117" t="s">
        <v>198</v>
      </c>
      <c r="D753" s="183">
        <f>D754</f>
        <v>1451.9</v>
      </c>
      <c r="E753" s="18" t="s">
        <v>374</v>
      </c>
      <c r="H753" s="323"/>
    </row>
    <row r="754" spans="1:8" s="18" customFormat="1" ht="12.75">
      <c r="A754" s="63" t="s">
        <v>193</v>
      </c>
      <c r="B754" s="117" t="s">
        <v>73</v>
      </c>
      <c r="C754" s="117" t="s">
        <v>194</v>
      </c>
      <c r="D754" s="186">
        <f>1777-325.1</f>
        <v>1451.9</v>
      </c>
      <c r="H754" s="323"/>
    </row>
    <row r="755" spans="1:8" s="18" customFormat="1" ht="12.75">
      <c r="A755" s="74" t="s">
        <v>528</v>
      </c>
      <c r="B755" s="117" t="s">
        <v>640</v>
      </c>
      <c r="C755" s="117"/>
      <c r="D755" s="186">
        <f>D756</f>
        <v>1187.4</v>
      </c>
      <c r="H755" s="323"/>
    </row>
    <row r="756" spans="1:8" s="18" customFormat="1" ht="12.75">
      <c r="A756" s="46" t="s">
        <v>103</v>
      </c>
      <c r="B756" s="117" t="s">
        <v>641</v>
      </c>
      <c r="C756" s="123"/>
      <c r="D756" s="183">
        <f>D757+D759</f>
        <v>1187.4</v>
      </c>
      <c r="H756" s="323"/>
    </row>
    <row r="757" spans="1:8" s="18" customFormat="1" ht="38.25">
      <c r="A757" s="60" t="s">
        <v>116</v>
      </c>
      <c r="B757" s="117" t="s">
        <v>641</v>
      </c>
      <c r="C757" s="117" t="s">
        <v>198</v>
      </c>
      <c r="D757" s="183">
        <f>D758</f>
        <v>1147.5</v>
      </c>
      <c r="H757" s="323"/>
    </row>
    <row r="758" spans="1:8" s="18" customFormat="1" ht="12.75">
      <c r="A758" s="63" t="s">
        <v>193</v>
      </c>
      <c r="B758" s="117" t="s">
        <v>641</v>
      </c>
      <c r="C758" s="117" t="s">
        <v>194</v>
      </c>
      <c r="D758" s="186">
        <f>1317-169.5</f>
        <v>1147.5</v>
      </c>
      <c r="H758" s="323"/>
    </row>
    <row r="759" spans="1:8" s="18" customFormat="1" ht="12.75">
      <c r="A759" s="60" t="s">
        <v>226</v>
      </c>
      <c r="B759" s="117" t="s">
        <v>641</v>
      </c>
      <c r="C759" s="117" t="s">
        <v>188</v>
      </c>
      <c r="D759" s="178">
        <f>D760</f>
        <v>39.9</v>
      </c>
      <c r="H759" s="323"/>
    </row>
    <row r="760" spans="1:8" s="18" customFormat="1" ht="12.75">
      <c r="A760" s="60" t="s">
        <v>189</v>
      </c>
      <c r="B760" s="117" t="s">
        <v>641</v>
      </c>
      <c r="C760" s="117" t="s">
        <v>187</v>
      </c>
      <c r="D760" s="178">
        <v>39.9</v>
      </c>
      <c r="H760" s="323"/>
    </row>
    <row r="761" spans="1:8" s="6" customFormat="1" ht="12.75">
      <c r="A761" s="109" t="s">
        <v>23</v>
      </c>
      <c r="B761" s="127" t="s">
        <v>24</v>
      </c>
      <c r="C761" s="134"/>
      <c r="D761" s="177">
        <f>D762</f>
        <v>1467.6000000000001</v>
      </c>
      <c r="H761" s="322"/>
    </row>
    <row r="762" spans="1:8" s="6" customFormat="1" ht="12.75">
      <c r="A762" s="50" t="s">
        <v>23</v>
      </c>
      <c r="B762" s="117" t="s">
        <v>214</v>
      </c>
      <c r="C762" s="117"/>
      <c r="D762" s="178">
        <f>D763+D765</f>
        <v>1467.6000000000001</v>
      </c>
      <c r="H762" s="322"/>
    </row>
    <row r="763" spans="1:8" s="6" customFormat="1" ht="12.75">
      <c r="A763" s="60" t="s">
        <v>226</v>
      </c>
      <c r="B763" s="117" t="s">
        <v>214</v>
      </c>
      <c r="C763" s="117" t="s">
        <v>188</v>
      </c>
      <c r="D763" s="178">
        <f>SUM(D764)</f>
        <v>21.700000000000003</v>
      </c>
      <c r="H763" s="322"/>
    </row>
    <row r="764" spans="1:8" s="6" customFormat="1" ht="12.75">
      <c r="A764" s="60" t="s">
        <v>189</v>
      </c>
      <c r="B764" s="117" t="s">
        <v>214</v>
      </c>
      <c r="C764" s="117" t="s">
        <v>187</v>
      </c>
      <c r="D764" s="178">
        <f>14.3+7.4</f>
        <v>21.700000000000003</v>
      </c>
      <c r="H764" s="322"/>
    </row>
    <row r="765" spans="1:8" s="6" customFormat="1" ht="12.75">
      <c r="A765" s="46" t="s">
        <v>89</v>
      </c>
      <c r="B765" s="117" t="s">
        <v>214</v>
      </c>
      <c r="C765" s="117" t="s">
        <v>85</v>
      </c>
      <c r="D765" s="178">
        <f>SUM(D766)</f>
        <v>1445.9</v>
      </c>
      <c r="H765" s="322"/>
    </row>
    <row r="766" spans="1:8" s="6" customFormat="1" ht="12.75">
      <c r="A766" s="46" t="s">
        <v>424</v>
      </c>
      <c r="B766" s="117" t="s">
        <v>214</v>
      </c>
      <c r="C766" s="117" t="s">
        <v>423</v>
      </c>
      <c r="D766" s="178">
        <f>949.7+496.2</f>
        <v>1445.9</v>
      </c>
      <c r="H766" s="322"/>
    </row>
    <row r="767" spans="1:8" s="6" customFormat="1" ht="12.75">
      <c r="A767" s="129" t="s">
        <v>163</v>
      </c>
      <c r="B767" s="133" t="s">
        <v>64</v>
      </c>
      <c r="C767" s="127"/>
      <c r="D767" s="177">
        <f>D768</f>
        <v>350</v>
      </c>
      <c r="H767" s="322"/>
    </row>
    <row r="768" spans="1:8" s="6" customFormat="1" ht="12.75">
      <c r="A768" s="46" t="s">
        <v>625</v>
      </c>
      <c r="B768" s="117" t="s">
        <v>65</v>
      </c>
      <c r="C768" s="87"/>
      <c r="D768" s="178">
        <f>D769</f>
        <v>350</v>
      </c>
      <c r="H768" s="322"/>
    </row>
    <row r="769" spans="1:8" s="6" customFormat="1" ht="12.75">
      <c r="A769" s="46" t="s">
        <v>90</v>
      </c>
      <c r="B769" s="117" t="s">
        <v>65</v>
      </c>
      <c r="C769" s="87">
        <v>800</v>
      </c>
      <c r="D769" s="178">
        <f>D770</f>
        <v>350</v>
      </c>
      <c r="H769" s="322"/>
    </row>
    <row r="770" spans="1:8" s="6" customFormat="1" ht="12.75">
      <c r="A770" s="46" t="s">
        <v>91</v>
      </c>
      <c r="B770" s="117" t="s">
        <v>65</v>
      </c>
      <c r="C770" s="87">
        <v>870</v>
      </c>
      <c r="D770" s="178">
        <v>350</v>
      </c>
      <c r="H770" s="322"/>
    </row>
    <row r="771" spans="1:8" s="6" customFormat="1" ht="25.5">
      <c r="A771" s="129" t="s">
        <v>286</v>
      </c>
      <c r="B771" s="133" t="s">
        <v>285</v>
      </c>
      <c r="C771" s="127"/>
      <c r="D771" s="177">
        <f>D772+D779+D776</f>
        <v>86969.7</v>
      </c>
      <c r="H771" s="322"/>
    </row>
    <row r="772" spans="1:8" s="6" customFormat="1" ht="12.75">
      <c r="A772" s="46" t="s">
        <v>243</v>
      </c>
      <c r="B772" s="115" t="s">
        <v>287</v>
      </c>
      <c r="C772" s="87"/>
      <c r="D772" s="178">
        <f>D773</f>
        <v>1655</v>
      </c>
      <c r="H772" s="322"/>
    </row>
    <row r="773" spans="1:8" s="6" customFormat="1" ht="12.75">
      <c r="A773" s="84" t="s">
        <v>90</v>
      </c>
      <c r="B773" s="115" t="s">
        <v>287</v>
      </c>
      <c r="C773" s="87">
        <v>800</v>
      </c>
      <c r="D773" s="178">
        <f>D774+D775</f>
        <v>1655</v>
      </c>
      <c r="H773" s="322"/>
    </row>
    <row r="774" spans="1:8" s="6" customFormat="1" ht="12.75">
      <c r="A774" s="84" t="s">
        <v>288</v>
      </c>
      <c r="B774" s="115" t="s">
        <v>287</v>
      </c>
      <c r="C774" s="87">
        <v>830</v>
      </c>
      <c r="D774" s="178">
        <v>1525</v>
      </c>
      <c r="H774" s="322"/>
    </row>
    <row r="775" spans="1:4" s="6" customFormat="1" ht="12.75">
      <c r="A775" s="64" t="s">
        <v>209</v>
      </c>
      <c r="B775" s="115" t="s">
        <v>287</v>
      </c>
      <c r="C775" s="87">
        <v>850</v>
      </c>
      <c r="D775" s="178">
        <v>130</v>
      </c>
    </row>
    <row r="776" spans="1:8" s="13" customFormat="1" ht="15.75">
      <c r="A776" s="46" t="s">
        <v>634</v>
      </c>
      <c r="B776" s="115" t="s">
        <v>608</v>
      </c>
      <c r="C776" s="87"/>
      <c r="D776" s="178">
        <f>D777</f>
        <v>28300.7</v>
      </c>
      <c r="H776" s="31"/>
    </row>
    <row r="777" spans="1:8" s="13" customFormat="1" ht="15.75">
      <c r="A777" s="46" t="s">
        <v>90</v>
      </c>
      <c r="B777" s="115" t="s">
        <v>608</v>
      </c>
      <c r="C777" s="87">
        <v>800</v>
      </c>
      <c r="D777" s="178">
        <f>D778</f>
        <v>28300.7</v>
      </c>
      <c r="H777" s="31"/>
    </row>
    <row r="778" spans="1:8" s="13" customFormat="1" ht="15.75">
      <c r="A778" s="46" t="s">
        <v>91</v>
      </c>
      <c r="B778" s="115" t="s">
        <v>608</v>
      </c>
      <c r="C778" s="87">
        <v>870</v>
      </c>
      <c r="D778" s="178">
        <f>20566.2+7734.5</f>
        <v>28300.7</v>
      </c>
      <c r="H778" s="31"/>
    </row>
    <row r="779" spans="1:8" s="13" customFormat="1" ht="25.5">
      <c r="A779" s="73" t="s">
        <v>486</v>
      </c>
      <c r="B779" s="117" t="s">
        <v>517</v>
      </c>
      <c r="C779" s="117"/>
      <c r="D779" s="178">
        <f>D780</f>
        <v>57014</v>
      </c>
      <c r="H779" s="31"/>
    </row>
    <row r="780" spans="1:8" s="13" customFormat="1" ht="15.75">
      <c r="A780" s="60" t="s">
        <v>226</v>
      </c>
      <c r="B780" s="117" t="s">
        <v>517</v>
      </c>
      <c r="C780" s="117" t="s">
        <v>188</v>
      </c>
      <c r="D780" s="178">
        <f>D781</f>
        <v>57014</v>
      </c>
      <c r="H780" s="31"/>
    </row>
    <row r="781" spans="1:8" s="13" customFormat="1" ht="15.75">
      <c r="A781" s="60" t="s">
        <v>189</v>
      </c>
      <c r="B781" s="117" t="s">
        <v>517</v>
      </c>
      <c r="C781" s="117" t="s">
        <v>187</v>
      </c>
      <c r="D781" s="178">
        <v>57014</v>
      </c>
      <c r="H781" s="31"/>
    </row>
    <row r="782" spans="1:8" s="13" customFormat="1" ht="15.75">
      <c r="A782" s="301" t="s">
        <v>186</v>
      </c>
      <c r="B782" s="358"/>
      <c r="C782" s="358"/>
      <c r="D782" s="194">
        <f>D15+D28+D194+D214+D219+D232+D248+D260+D288+D301+D345+D359+D452+D470+D477+D492+D498+D528+D535+D569+D580+D592+D640+D658+D702+D708+D715+D721+D735+D750+D761+D767+D771+D539</f>
        <v>1684935.7209999997</v>
      </c>
      <c r="H782" s="322" t="s">
        <v>674</v>
      </c>
    </row>
    <row r="783" spans="1:8" s="13" customFormat="1" ht="15.75">
      <c r="A783" s="124"/>
      <c r="B783" s="360"/>
      <c r="C783" s="360"/>
      <c r="D783" s="196"/>
      <c r="H783" s="31"/>
    </row>
    <row r="784" spans="1:8" s="13" customFormat="1" ht="15.75">
      <c r="A784" s="124"/>
      <c r="B784" s="360"/>
      <c r="C784" s="360"/>
      <c r="D784" s="196"/>
      <c r="H784" s="31"/>
    </row>
    <row r="785" spans="1:8" s="13" customFormat="1" ht="15.75">
      <c r="A785" s="124"/>
      <c r="B785" s="360"/>
      <c r="C785" s="360"/>
      <c r="D785" s="196"/>
      <c r="H785" s="31"/>
    </row>
    <row r="786" spans="1:8" s="13" customFormat="1" ht="15.75">
      <c r="A786" s="124"/>
      <c r="B786" s="360"/>
      <c r="C786" s="360"/>
      <c r="D786" s="196"/>
      <c r="H786" s="31"/>
    </row>
    <row r="787" spans="1:8" s="13" customFormat="1" ht="15.75">
      <c r="A787" s="124"/>
      <c r="B787" s="360"/>
      <c r="C787" s="360"/>
      <c r="D787" s="196"/>
      <c r="H787" s="31"/>
    </row>
    <row r="788" spans="1:8" s="13" customFormat="1" ht="15.75">
      <c r="A788" s="124"/>
      <c r="B788" s="360"/>
      <c r="C788" s="360"/>
      <c r="D788" s="196"/>
      <c r="H788" s="31"/>
    </row>
    <row r="789" spans="1:8" s="13" customFormat="1" ht="15.75">
      <c r="A789" s="124"/>
      <c r="B789" s="360"/>
      <c r="C789" s="360"/>
      <c r="D789" s="196"/>
      <c r="H789" s="31"/>
    </row>
    <row r="790" spans="1:8" s="13" customFormat="1" ht="15.75">
      <c r="A790" s="124"/>
      <c r="B790" s="360"/>
      <c r="C790" s="360"/>
      <c r="D790" s="196"/>
      <c r="H790" s="31"/>
    </row>
    <row r="791" spans="1:8" s="13" customFormat="1" ht="15.75">
      <c r="A791" s="124"/>
      <c r="B791" s="360"/>
      <c r="C791" s="360"/>
      <c r="D791" s="196"/>
      <c r="H791" s="31"/>
    </row>
    <row r="792" spans="1:8" s="13" customFormat="1" ht="15.75">
      <c r="A792" s="124"/>
      <c r="B792" s="360"/>
      <c r="C792" s="360"/>
      <c r="D792" s="196"/>
      <c r="H792" s="31"/>
    </row>
    <row r="793" spans="1:8" s="13" customFormat="1" ht="15.75">
      <c r="A793" s="124"/>
      <c r="B793" s="360"/>
      <c r="C793" s="360"/>
      <c r="D793" s="196"/>
      <c r="H793" s="31"/>
    </row>
    <row r="794" spans="1:8" s="13" customFormat="1" ht="15.75">
      <c r="A794" s="124"/>
      <c r="B794" s="360"/>
      <c r="C794" s="360"/>
      <c r="D794" s="196"/>
      <c r="H794" s="31"/>
    </row>
    <row r="795" spans="1:8" s="13" customFormat="1" ht="15.75">
      <c r="A795" s="124"/>
      <c r="B795" s="360"/>
      <c r="C795" s="360"/>
      <c r="D795" s="196"/>
      <c r="H795" s="31"/>
    </row>
    <row r="796" spans="1:8" s="13" customFormat="1" ht="15.75">
      <c r="A796" s="124"/>
      <c r="B796" s="360"/>
      <c r="C796" s="360"/>
      <c r="D796" s="196"/>
      <c r="H796" s="31"/>
    </row>
    <row r="797" spans="1:8" s="13" customFormat="1" ht="15.75">
      <c r="A797" s="124"/>
      <c r="B797" s="360"/>
      <c r="C797" s="360"/>
      <c r="D797" s="196"/>
      <c r="H797" s="31"/>
    </row>
    <row r="798" spans="1:8" s="13" customFormat="1" ht="15.75">
      <c r="A798" s="124"/>
      <c r="B798" s="360"/>
      <c r="C798" s="360"/>
      <c r="D798" s="196"/>
      <c r="H798" s="31"/>
    </row>
    <row r="799" spans="1:8" s="13" customFormat="1" ht="15.75">
      <c r="A799" s="124"/>
      <c r="B799" s="360"/>
      <c r="C799" s="360"/>
      <c r="D799" s="196"/>
      <c r="H799" s="31"/>
    </row>
    <row r="800" spans="1:8" s="13" customFormat="1" ht="15.75">
      <c r="A800" s="124"/>
      <c r="B800" s="360"/>
      <c r="C800" s="360"/>
      <c r="D800" s="196"/>
      <c r="H800" s="31"/>
    </row>
    <row r="801" spans="1:8" s="13" customFormat="1" ht="15.75">
      <c r="A801" s="124"/>
      <c r="B801" s="360"/>
      <c r="C801" s="360"/>
      <c r="D801" s="196"/>
      <c r="H801" s="31"/>
    </row>
    <row r="802" spans="1:8" s="13" customFormat="1" ht="15.75">
      <c r="A802" s="124"/>
      <c r="B802" s="360"/>
      <c r="C802" s="360"/>
      <c r="D802" s="196"/>
      <c r="H802" s="31"/>
    </row>
    <row r="803" spans="1:8" s="13" customFormat="1" ht="15.75">
      <c r="A803" s="124"/>
      <c r="B803" s="360"/>
      <c r="C803" s="360"/>
      <c r="D803" s="196"/>
      <c r="H803" s="31"/>
    </row>
    <row r="804" spans="1:8" s="13" customFormat="1" ht="15.75">
      <c r="A804" s="124"/>
      <c r="B804" s="360"/>
      <c r="C804" s="360"/>
      <c r="D804" s="196"/>
      <c r="H804" s="31"/>
    </row>
    <row r="805" spans="1:8" s="13" customFormat="1" ht="15.75">
      <c r="A805" s="124"/>
      <c r="B805" s="360"/>
      <c r="C805" s="360"/>
      <c r="D805" s="196"/>
      <c r="H805" s="31"/>
    </row>
    <row r="806" spans="1:8" s="13" customFormat="1" ht="15.75">
      <c r="A806" s="124"/>
      <c r="B806" s="360"/>
      <c r="C806" s="360"/>
      <c r="D806" s="196"/>
      <c r="H806" s="31"/>
    </row>
    <row r="807" spans="1:8" s="13" customFormat="1" ht="15.75">
      <c r="A807" s="124"/>
      <c r="B807" s="360"/>
      <c r="C807" s="360"/>
      <c r="D807" s="196"/>
      <c r="H807" s="31"/>
    </row>
    <row r="808" spans="1:8" s="13" customFormat="1" ht="15.75">
      <c r="A808" s="124"/>
      <c r="B808" s="360"/>
      <c r="C808" s="360"/>
      <c r="D808" s="196"/>
      <c r="H808" s="31"/>
    </row>
    <row r="809" spans="1:8" s="13" customFormat="1" ht="15.75">
      <c r="A809" s="124"/>
      <c r="B809" s="360"/>
      <c r="C809" s="360"/>
      <c r="D809" s="196"/>
      <c r="H809" s="31"/>
    </row>
    <row r="810" spans="1:8" s="13" customFormat="1" ht="15.75">
      <c r="A810" s="124"/>
      <c r="B810" s="360"/>
      <c r="C810" s="360"/>
      <c r="D810" s="196"/>
      <c r="H810" s="31"/>
    </row>
    <row r="811" spans="1:8" s="13" customFormat="1" ht="15.75">
      <c r="A811" s="124"/>
      <c r="B811" s="360"/>
      <c r="C811" s="360"/>
      <c r="D811" s="196"/>
      <c r="H811" s="31"/>
    </row>
    <row r="812" spans="1:8" s="13" customFormat="1" ht="15.75">
      <c r="A812" s="124"/>
      <c r="B812" s="360"/>
      <c r="C812" s="360"/>
      <c r="D812" s="196"/>
      <c r="H812" s="31"/>
    </row>
    <row r="813" spans="1:8" s="13" customFormat="1" ht="15.75">
      <c r="A813" s="124"/>
      <c r="B813" s="360"/>
      <c r="C813" s="360"/>
      <c r="D813" s="196"/>
      <c r="H813" s="31"/>
    </row>
    <row r="814" spans="1:8" s="13" customFormat="1" ht="15.75">
      <c r="A814" s="124"/>
      <c r="B814" s="360"/>
      <c r="C814" s="360"/>
      <c r="D814" s="196"/>
      <c r="H814" s="31"/>
    </row>
    <row r="815" spans="1:8" s="13" customFormat="1" ht="15.75">
      <c r="A815" s="124"/>
      <c r="B815" s="360"/>
      <c r="C815" s="360"/>
      <c r="D815" s="196"/>
      <c r="H815" s="31"/>
    </row>
    <row r="816" spans="1:8" s="13" customFormat="1" ht="15.75">
      <c r="A816" s="124"/>
      <c r="B816" s="360"/>
      <c r="C816" s="360"/>
      <c r="D816" s="196"/>
      <c r="H816" s="31"/>
    </row>
    <row r="817" spans="1:8" s="13" customFormat="1" ht="15.75">
      <c r="A817" s="124"/>
      <c r="B817" s="360"/>
      <c r="C817" s="360"/>
      <c r="D817" s="196"/>
      <c r="H817" s="31"/>
    </row>
    <row r="818" spans="1:8" s="13" customFormat="1" ht="15.75">
      <c r="A818" s="124"/>
      <c r="B818" s="360"/>
      <c r="C818" s="360"/>
      <c r="D818" s="196"/>
      <c r="H818" s="31"/>
    </row>
    <row r="819" spans="1:8" s="13" customFormat="1" ht="15.75">
      <c r="A819" s="124"/>
      <c r="B819" s="360"/>
      <c r="C819" s="360"/>
      <c r="D819" s="196"/>
      <c r="H819" s="31"/>
    </row>
    <row r="820" spans="1:8" s="13" customFormat="1" ht="15.75">
      <c r="A820" s="124"/>
      <c r="B820" s="360"/>
      <c r="C820" s="360"/>
      <c r="D820" s="196"/>
      <c r="H820" s="31"/>
    </row>
    <row r="821" spans="1:8" s="13" customFormat="1" ht="15.75">
      <c r="A821" s="124"/>
      <c r="B821" s="360"/>
      <c r="C821" s="360"/>
      <c r="D821" s="196"/>
      <c r="H821" s="31"/>
    </row>
    <row r="822" spans="1:8" s="13" customFormat="1" ht="15.75">
      <c r="A822" s="124"/>
      <c r="B822" s="360"/>
      <c r="C822" s="360"/>
      <c r="D822" s="196"/>
      <c r="H822" s="31"/>
    </row>
    <row r="823" spans="1:8" s="13" customFormat="1" ht="15.75">
      <c r="A823" s="124"/>
      <c r="B823" s="360"/>
      <c r="C823" s="360"/>
      <c r="D823" s="196"/>
      <c r="H823" s="31"/>
    </row>
    <row r="824" spans="1:8" s="13" customFormat="1" ht="15.75">
      <c r="A824" s="124"/>
      <c r="B824" s="360"/>
      <c r="C824" s="360"/>
      <c r="D824" s="196"/>
      <c r="H824" s="31"/>
    </row>
    <row r="825" spans="1:8" s="13" customFormat="1" ht="15.75">
      <c r="A825" s="124"/>
      <c r="B825" s="360"/>
      <c r="C825" s="360"/>
      <c r="D825" s="196"/>
      <c r="H825" s="31"/>
    </row>
    <row r="826" spans="1:8" s="13" customFormat="1" ht="15.75">
      <c r="A826" s="124"/>
      <c r="B826" s="360"/>
      <c r="C826" s="360"/>
      <c r="D826" s="196"/>
      <c r="H826" s="31"/>
    </row>
    <row r="827" spans="1:8" s="13" customFormat="1" ht="15.75">
      <c r="A827" s="124"/>
      <c r="B827" s="360"/>
      <c r="C827" s="360"/>
      <c r="D827" s="196"/>
      <c r="H827" s="31"/>
    </row>
    <row r="828" spans="1:8" s="13" customFormat="1" ht="15.75">
      <c r="A828" s="124"/>
      <c r="B828" s="360"/>
      <c r="C828" s="360"/>
      <c r="D828" s="196"/>
      <c r="H828" s="31"/>
    </row>
    <row r="829" spans="1:8" s="13" customFormat="1" ht="15.75">
      <c r="A829" s="124"/>
      <c r="B829" s="360"/>
      <c r="C829" s="360"/>
      <c r="D829" s="196"/>
      <c r="H829" s="31"/>
    </row>
    <row r="830" spans="1:8" s="13" customFormat="1" ht="15.75">
      <c r="A830" s="124"/>
      <c r="B830" s="360"/>
      <c r="C830" s="360"/>
      <c r="D830" s="196"/>
      <c r="H830" s="31"/>
    </row>
    <row r="831" spans="1:8" s="13" customFormat="1" ht="15.75">
      <c r="A831" s="124"/>
      <c r="B831" s="360"/>
      <c r="C831" s="360"/>
      <c r="D831" s="196"/>
      <c r="H831" s="31"/>
    </row>
    <row r="832" spans="1:8" s="13" customFormat="1" ht="15.75">
      <c r="A832" s="124"/>
      <c r="B832" s="360"/>
      <c r="C832" s="360"/>
      <c r="D832" s="196"/>
      <c r="H832" s="31"/>
    </row>
    <row r="833" spans="1:8" s="13" customFormat="1" ht="15.75">
      <c r="A833" s="124"/>
      <c r="B833" s="360"/>
      <c r="C833" s="360"/>
      <c r="D833" s="196"/>
      <c r="H833" s="31"/>
    </row>
    <row r="834" spans="1:8" s="13" customFormat="1" ht="15.75">
      <c r="A834" s="124"/>
      <c r="B834" s="360"/>
      <c r="C834" s="360"/>
      <c r="D834" s="196"/>
      <c r="H834" s="31"/>
    </row>
    <row r="835" spans="1:8" s="13" customFormat="1" ht="15.75">
      <c r="A835" s="124"/>
      <c r="B835" s="360"/>
      <c r="C835" s="360"/>
      <c r="D835" s="196"/>
      <c r="H835" s="31"/>
    </row>
    <row r="836" spans="1:8" s="13" customFormat="1" ht="15.75">
      <c r="A836" s="124"/>
      <c r="B836" s="360"/>
      <c r="C836" s="360"/>
      <c r="D836" s="196"/>
      <c r="H836" s="31"/>
    </row>
    <row r="837" spans="1:8" s="13" customFormat="1" ht="15.75">
      <c r="A837" s="124"/>
      <c r="B837" s="360"/>
      <c r="C837" s="360"/>
      <c r="D837" s="196"/>
      <c r="H837" s="31"/>
    </row>
    <row r="838" spans="1:8" s="13" customFormat="1" ht="15.75">
      <c r="A838" s="124"/>
      <c r="B838" s="360"/>
      <c r="C838" s="360"/>
      <c r="D838" s="196"/>
      <c r="H838" s="31"/>
    </row>
    <row r="839" spans="1:8" s="13" customFormat="1" ht="15.75">
      <c r="A839" s="124"/>
      <c r="B839" s="360"/>
      <c r="C839" s="360"/>
      <c r="D839" s="196"/>
      <c r="H839" s="31"/>
    </row>
    <row r="840" spans="1:8" s="13" customFormat="1" ht="15.75">
      <c r="A840" s="124"/>
      <c r="B840" s="360"/>
      <c r="C840" s="360"/>
      <c r="D840" s="196"/>
      <c r="H840" s="31"/>
    </row>
    <row r="841" spans="1:8" s="13" customFormat="1" ht="15.75">
      <c r="A841" s="124"/>
      <c r="B841" s="360"/>
      <c r="C841" s="360"/>
      <c r="D841" s="196"/>
      <c r="H841" s="31"/>
    </row>
    <row r="842" spans="1:8" s="13" customFormat="1" ht="15.75">
      <c r="A842" s="124"/>
      <c r="B842" s="360"/>
      <c r="C842" s="360"/>
      <c r="D842" s="196"/>
      <c r="H842" s="31"/>
    </row>
    <row r="843" spans="1:8" s="13" customFormat="1" ht="15.75">
      <c r="A843" s="124"/>
      <c r="B843" s="360"/>
      <c r="C843" s="360"/>
      <c r="D843" s="196"/>
      <c r="H843" s="31"/>
    </row>
    <row r="844" spans="1:8" s="13" customFormat="1" ht="15.75">
      <c r="A844" s="124"/>
      <c r="B844" s="360"/>
      <c r="C844" s="360"/>
      <c r="D844" s="196"/>
      <c r="H844" s="31"/>
    </row>
    <row r="845" spans="1:8" s="13" customFormat="1" ht="15.75">
      <c r="A845" s="124"/>
      <c r="B845" s="360"/>
      <c r="C845" s="360"/>
      <c r="D845" s="196"/>
      <c r="H845" s="31"/>
    </row>
    <row r="846" spans="1:8" s="13" customFormat="1" ht="15.75">
      <c r="A846" s="124"/>
      <c r="B846" s="360"/>
      <c r="C846" s="360"/>
      <c r="D846" s="196"/>
      <c r="H846" s="31"/>
    </row>
    <row r="847" spans="1:8" s="13" customFormat="1" ht="15.75">
      <c r="A847" s="124"/>
      <c r="B847" s="360"/>
      <c r="C847" s="360"/>
      <c r="D847" s="196"/>
      <c r="H847" s="31"/>
    </row>
    <row r="848" spans="1:8" s="13" customFormat="1" ht="15.75">
      <c r="A848" s="124"/>
      <c r="B848" s="360"/>
      <c r="C848" s="360"/>
      <c r="D848" s="196"/>
      <c r="H848" s="31"/>
    </row>
    <row r="849" spans="1:8" s="13" customFormat="1" ht="15.75">
      <c r="A849" s="124"/>
      <c r="B849" s="360"/>
      <c r="C849" s="360"/>
      <c r="D849" s="196"/>
      <c r="H849" s="31"/>
    </row>
    <row r="850" spans="1:8" s="13" customFormat="1" ht="15.75">
      <c r="A850" s="124"/>
      <c r="B850" s="360"/>
      <c r="C850" s="360"/>
      <c r="D850" s="196"/>
      <c r="H850" s="31"/>
    </row>
    <row r="851" spans="1:8" s="13" customFormat="1" ht="15.75">
      <c r="A851" s="124"/>
      <c r="B851" s="360"/>
      <c r="C851" s="360"/>
      <c r="D851" s="196"/>
      <c r="H851" s="31"/>
    </row>
    <row r="852" spans="1:8" s="13" customFormat="1" ht="15.75">
      <c r="A852" s="124"/>
      <c r="B852" s="360"/>
      <c r="C852" s="360"/>
      <c r="D852" s="196"/>
      <c r="H852" s="31"/>
    </row>
    <row r="853" spans="1:8" s="13" customFormat="1" ht="15.75">
      <c r="A853" s="124"/>
      <c r="B853" s="360"/>
      <c r="C853" s="360"/>
      <c r="D853" s="196"/>
      <c r="H853" s="31"/>
    </row>
    <row r="854" spans="1:8" s="13" customFormat="1" ht="15.75">
      <c r="A854" s="124"/>
      <c r="B854" s="360"/>
      <c r="C854" s="360"/>
      <c r="D854" s="196"/>
      <c r="H854" s="31"/>
    </row>
    <row r="855" spans="1:8" s="13" customFormat="1" ht="15.75">
      <c r="A855" s="124"/>
      <c r="B855" s="360"/>
      <c r="C855" s="360"/>
      <c r="D855" s="196"/>
      <c r="H855" s="31"/>
    </row>
    <row r="856" spans="1:8" s="13" customFormat="1" ht="15.75">
      <c r="A856" s="124"/>
      <c r="B856" s="360"/>
      <c r="C856" s="360"/>
      <c r="D856" s="196"/>
      <c r="H856" s="31"/>
    </row>
    <row r="857" spans="1:8" s="13" customFormat="1" ht="15.75">
      <c r="A857" s="124"/>
      <c r="B857" s="360"/>
      <c r="C857" s="360"/>
      <c r="D857" s="196"/>
      <c r="H857" s="31"/>
    </row>
    <row r="858" spans="1:8" s="13" customFormat="1" ht="15.75">
      <c r="A858" s="124"/>
      <c r="B858" s="360"/>
      <c r="C858" s="360"/>
      <c r="D858" s="196"/>
      <c r="H858" s="31"/>
    </row>
    <row r="859" spans="1:8" s="13" customFormat="1" ht="15.75">
      <c r="A859" s="7"/>
      <c r="B859" s="361"/>
      <c r="C859" s="361"/>
      <c r="D859" s="197"/>
      <c r="H859" s="31"/>
    </row>
    <row r="860" spans="1:8" s="13" customFormat="1" ht="15.75">
      <c r="A860" s="7"/>
      <c r="B860" s="361"/>
      <c r="C860" s="361"/>
      <c r="D860" s="197"/>
      <c r="H860" s="31"/>
    </row>
    <row r="861" spans="1:8" s="13" customFormat="1" ht="15.75">
      <c r="A861" s="7"/>
      <c r="B861" s="361"/>
      <c r="C861" s="361"/>
      <c r="D861" s="197"/>
      <c r="H861" s="31"/>
    </row>
    <row r="862" spans="1:8" s="13" customFormat="1" ht="15.75">
      <c r="A862" s="7"/>
      <c r="B862" s="361"/>
      <c r="C862" s="361"/>
      <c r="D862" s="197"/>
      <c r="H862" s="31"/>
    </row>
    <row r="863" spans="1:8" s="13" customFormat="1" ht="15.75">
      <c r="A863" s="7"/>
      <c r="B863" s="361"/>
      <c r="C863" s="361"/>
      <c r="D863" s="197"/>
      <c r="H863" s="31"/>
    </row>
    <row r="864" spans="1:8" s="13" customFormat="1" ht="15.75">
      <c r="A864" s="7"/>
      <c r="B864" s="361"/>
      <c r="C864" s="361"/>
      <c r="D864" s="197"/>
      <c r="H864" s="31"/>
    </row>
    <row r="865" spans="1:8" s="13" customFormat="1" ht="15.75">
      <c r="A865" s="7"/>
      <c r="B865" s="361"/>
      <c r="C865" s="361"/>
      <c r="D865" s="197"/>
      <c r="H865" s="31"/>
    </row>
    <row r="866" spans="1:8" s="21" customFormat="1" ht="15.75">
      <c r="A866" s="7"/>
      <c r="B866" s="361"/>
      <c r="C866" s="361"/>
      <c r="D866" s="197"/>
      <c r="H866" s="324"/>
    </row>
    <row r="867" spans="1:8" s="13" customFormat="1" ht="15.75">
      <c r="A867" s="7"/>
      <c r="B867" s="361"/>
      <c r="C867" s="361"/>
      <c r="D867" s="197"/>
      <c r="H867" s="31"/>
    </row>
    <row r="868" spans="1:8" s="13" customFormat="1" ht="15.75">
      <c r="A868" s="7"/>
      <c r="B868" s="361"/>
      <c r="C868" s="361"/>
      <c r="D868" s="197"/>
      <c r="H868" s="31"/>
    </row>
    <row r="869" spans="1:8" s="13" customFormat="1" ht="15.75">
      <c r="A869" s="7"/>
      <c r="B869" s="361"/>
      <c r="C869" s="361"/>
      <c r="D869" s="197"/>
      <c r="H869" s="31"/>
    </row>
    <row r="870" spans="1:8" s="13" customFormat="1" ht="15.75">
      <c r="A870" s="7"/>
      <c r="B870" s="361"/>
      <c r="C870" s="361"/>
      <c r="D870" s="197"/>
      <c r="H870" s="31"/>
    </row>
    <row r="871" spans="1:8" s="13" customFormat="1" ht="15.75">
      <c r="A871" s="7"/>
      <c r="B871" s="361"/>
      <c r="C871" s="361"/>
      <c r="D871" s="197"/>
      <c r="H871" s="31"/>
    </row>
    <row r="872" spans="1:8" s="13" customFormat="1" ht="15.75">
      <c r="A872" s="7"/>
      <c r="B872" s="361"/>
      <c r="C872" s="361"/>
      <c r="D872" s="197"/>
      <c r="H872" s="31"/>
    </row>
    <row r="873" spans="1:8" s="13" customFormat="1" ht="15.75">
      <c r="A873" s="7"/>
      <c r="B873" s="361"/>
      <c r="C873" s="361"/>
      <c r="D873" s="197"/>
      <c r="H873" s="31"/>
    </row>
    <row r="874" spans="1:8" s="13" customFormat="1" ht="15.75">
      <c r="A874" s="7"/>
      <c r="B874" s="361"/>
      <c r="C874" s="361"/>
      <c r="D874" s="197"/>
      <c r="H874" s="31"/>
    </row>
    <row r="875" spans="1:8" s="13" customFormat="1" ht="15.75">
      <c r="A875" s="7"/>
      <c r="B875" s="361"/>
      <c r="C875" s="361"/>
      <c r="D875" s="197"/>
      <c r="H875" s="31"/>
    </row>
    <row r="876" spans="1:8" s="13" customFormat="1" ht="15.75">
      <c r="A876" s="7"/>
      <c r="B876" s="361"/>
      <c r="C876" s="361"/>
      <c r="D876" s="197"/>
      <c r="H876" s="31"/>
    </row>
    <row r="877" spans="1:8" s="13" customFormat="1" ht="15.75">
      <c r="A877" s="7"/>
      <c r="B877" s="361"/>
      <c r="C877" s="361"/>
      <c r="D877" s="197"/>
      <c r="H877" s="31"/>
    </row>
    <row r="878" spans="1:8" s="13" customFormat="1" ht="15.75">
      <c r="A878" s="7"/>
      <c r="B878" s="361"/>
      <c r="C878" s="361"/>
      <c r="D878" s="197"/>
      <c r="H878" s="31"/>
    </row>
    <row r="879" spans="1:8" s="13" customFormat="1" ht="15.75">
      <c r="A879" s="7"/>
      <c r="B879" s="361"/>
      <c r="C879" s="361"/>
      <c r="D879" s="197"/>
      <c r="H879" s="31"/>
    </row>
    <row r="880" spans="1:8" s="13" customFormat="1" ht="15.75">
      <c r="A880" s="7"/>
      <c r="B880" s="361"/>
      <c r="C880" s="361"/>
      <c r="D880" s="197"/>
      <c r="H880" s="31"/>
    </row>
    <row r="881" spans="1:8" s="13" customFormat="1" ht="15.75">
      <c r="A881" s="7"/>
      <c r="B881" s="361"/>
      <c r="C881" s="361"/>
      <c r="D881" s="197"/>
      <c r="H881" s="31"/>
    </row>
    <row r="882" spans="1:8" s="13" customFormat="1" ht="15.75">
      <c r="A882" s="7"/>
      <c r="B882" s="361"/>
      <c r="C882" s="361"/>
      <c r="D882" s="197"/>
      <c r="H882" s="31"/>
    </row>
    <row r="883" spans="1:8" s="13" customFormat="1" ht="15.75">
      <c r="A883" s="7"/>
      <c r="B883" s="361"/>
      <c r="C883" s="361"/>
      <c r="D883" s="197"/>
      <c r="H883" s="31"/>
    </row>
    <row r="884" spans="1:8" s="13" customFormat="1" ht="15.75">
      <c r="A884" s="7"/>
      <c r="B884" s="361"/>
      <c r="C884" s="361"/>
      <c r="D884" s="197"/>
      <c r="H884" s="31"/>
    </row>
    <row r="885" spans="1:8" s="13" customFormat="1" ht="15.75">
      <c r="A885" s="7"/>
      <c r="B885" s="361"/>
      <c r="C885" s="361"/>
      <c r="D885" s="197"/>
      <c r="H885" s="31"/>
    </row>
    <row r="886" spans="1:8" s="13" customFormat="1" ht="15.75">
      <c r="A886" s="7"/>
      <c r="B886" s="361"/>
      <c r="C886" s="361"/>
      <c r="D886" s="197"/>
      <c r="H886" s="31"/>
    </row>
    <row r="887" spans="1:8" s="13" customFormat="1" ht="15.75">
      <c r="A887" s="7"/>
      <c r="B887" s="361"/>
      <c r="C887" s="361"/>
      <c r="D887" s="197"/>
      <c r="H887" s="31"/>
    </row>
    <row r="888" spans="1:8" s="13" customFormat="1" ht="15.75">
      <c r="A888" s="7"/>
      <c r="B888" s="361"/>
      <c r="C888" s="361"/>
      <c r="D888" s="197"/>
      <c r="H888" s="31"/>
    </row>
    <row r="889" spans="1:8" s="13" customFormat="1" ht="15.75">
      <c r="A889" s="7"/>
      <c r="B889" s="361"/>
      <c r="C889" s="361"/>
      <c r="D889" s="197"/>
      <c r="H889" s="31"/>
    </row>
    <row r="890" spans="1:8" s="13" customFormat="1" ht="15.75">
      <c r="A890" s="7"/>
      <c r="B890" s="361"/>
      <c r="C890" s="361"/>
      <c r="D890" s="197"/>
      <c r="H890" s="31"/>
    </row>
    <row r="891" spans="1:8" s="13" customFormat="1" ht="15.75">
      <c r="A891" s="7"/>
      <c r="B891" s="361"/>
      <c r="C891" s="361"/>
      <c r="D891" s="197"/>
      <c r="H891" s="31"/>
    </row>
    <row r="892" spans="1:8" s="13" customFormat="1" ht="15.75">
      <c r="A892" s="7"/>
      <c r="B892" s="361"/>
      <c r="C892" s="361"/>
      <c r="D892" s="197"/>
      <c r="H892" s="31"/>
    </row>
    <row r="893" spans="1:8" s="13" customFormat="1" ht="15.75">
      <c r="A893" s="7"/>
      <c r="B893" s="361"/>
      <c r="C893" s="361"/>
      <c r="D893" s="197"/>
      <c r="H893" s="31"/>
    </row>
    <row r="894" spans="1:8" s="13" customFormat="1" ht="15.75">
      <c r="A894" s="7"/>
      <c r="B894" s="361"/>
      <c r="C894" s="361"/>
      <c r="D894" s="197"/>
      <c r="H894" s="31"/>
    </row>
    <row r="895" spans="1:8" s="13" customFormat="1" ht="15.75">
      <c r="A895" s="7"/>
      <c r="B895" s="361"/>
      <c r="C895" s="361"/>
      <c r="D895" s="197"/>
      <c r="H895" s="31"/>
    </row>
    <row r="896" spans="1:8" s="13" customFormat="1" ht="15.75">
      <c r="A896" s="7"/>
      <c r="B896" s="361"/>
      <c r="C896" s="361"/>
      <c r="D896" s="197"/>
      <c r="H896" s="31"/>
    </row>
    <row r="897" spans="1:8" s="13" customFormat="1" ht="15.75">
      <c r="A897" s="7"/>
      <c r="B897" s="361"/>
      <c r="C897" s="361"/>
      <c r="D897" s="197"/>
      <c r="H897" s="31"/>
    </row>
    <row r="898" spans="1:8" s="13" customFormat="1" ht="15.75">
      <c r="A898" s="7"/>
      <c r="B898" s="361"/>
      <c r="C898" s="361"/>
      <c r="D898" s="197"/>
      <c r="H898" s="31"/>
    </row>
    <row r="899" spans="1:8" s="13" customFormat="1" ht="15.75">
      <c r="A899" s="7"/>
      <c r="B899" s="361"/>
      <c r="C899" s="361"/>
      <c r="D899" s="197"/>
      <c r="H899" s="31"/>
    </row>
    <row r="900" spans="1:8" s="13" customFormat="1" ht="15.75">
      <c r="A900" s="7"/>
      <c r="B900" s="361"/>
      <c r="C900" s="361"/>
      <c r="D900" s="197"/>
      <c r="H900" s="31"/>
    </row>
    <row r="901" spans="1:8" s="21" customFormat="1" ht="15.75">
      <c r="A901" s="7"/>
      <c r="B901" s="361"/>
      <c r="C901" s="361"/>
      <c r="D901" s="197"/>
      <c r="H901" s="324"/>
    </row>
    <row r="902" spans="1:8" s="13" customFormat="1" ht="15.75">
      <c r="A902" s="7"/>
      <c r="B902" s="361"/>
      <c r="C902" s="361"/>
      <c r="D902" s="197"/>
      <c r="H902" s="31"/>
    </row>
    <row r="903" spans="1:8" s="13" customFormat="1" ht="15.75">
      <c r="A903" s="7"/>
      <c r="B903" s="361"/>
      <c r="C903" s="361"/>
      <c r="D903" s="197"/>
      <c r="H903" s="31"/>
    </row>
    <row r="904" spans="1:8" s="13" customFormat="1" ht="15.75">
      <c r="A904" s="7"/>
      <c r="B904" s="361"/>
      <c r="C904" s="361"/>
      <c r="D904" s="197"/>
      <c r="H904" s="31"/>
    </row>
    <row r="905" spans="1:8" s="13" customFormat="1" ht="15.75">
      <c r="A905" s="7"/>
      <c r="B905" s="361"/>
      <c r="C905" s="361"/>
      <c r="D905" s="197"/>
      <c r="H905" s="31"/>
    </row>
    <row r="906" spans="1:8" s="13" customFormat="1" ht="15.75">
      <c r="A906" s="7"/>
      <c r="B906" s="361"/>
      <c r="C906" s="361"/>
      <c r="D906" s="197"/>
      <c r="H906" s="31"/>
    </row>
    <row r="907" spans="1:8" s="13" customFormat="1" ht="15.75">
      <c r="A907" s="7"/>
      <c r="B907" s="361"/>
      <c r="C907" s="361"/>
      <c r="D907" s="197"/>
      <c r="H907" s="31"/>
    </row>
    <row r="908" spans="1:8" s="13" customFormat="1" ht="15.75">
      <c r="A908" s="7"/>
      <c r="B908" s="361"/>
      <c r="C908" s="361"/>
      <c r="D908" s="197"/>
      <c r="H908" s="31"/>
    </row>
    <row r="909" spans="1:8" s="13" customFormat="1" ht="15.75">
      <c r="A909" s="7"/>
      <c r="B909" s="361"/>
      <c r="C909" s="361"/>
      <c r="D909" s="197"/>
      <c r="H909" s="31"/>
    </row>
    <row r="910" spans="1:8" s="18" customFormat="1" ht="12.75">
      <c r="A910" s="7"/>
      <c r="B910" s="361"/>
      <c r="C910" s="361"/>
      <c r="D910" s="197"/>
      <c r="H910" s="323"/>
    </row>
    <row r="911" spans="1:8" s="18" customFormat="1" ht="12.75">
      <c r="A911" s="7"/>
      <c r="B911" s="361"/>
      <c r="C911" s="361"/>
      <c r="D911" s="197"/>
      <c r="H911" s="323"/>
    </row>
    <row r="912" spans="1:8" s="18" customFormat="1" ht="12.75">
      <c r="A912" s="7"/>
      <c r="B912" s="361"/>
      <c r="C912" s="361"/>
      <c r="D912" s="197"/>
      <c r="H912" s="323"/>
    </row>
    <row r="913" spans="1:8" s="18" customFormat="1" ht="12.75">
      <c r="A913" s="7"/>
      <c r="B913" s="361"/>
      <c r="C913" s="361"/>
      <c r="D913" s="197"/>
      <c r="H913" s="323"/>
    </row>
    <row r="914" spans="1:8" s="18" customFormat="1" ht="12.75">
      <c r="A914" s="7"/>
      <c r="B914" s="361"/>
      <c r="C914" s="361"/>
      <c r="D914" s="197"/>
      <c r="H914" s="323"/>
    </row>
    <row r="915" spans="1:8" s="18" customFormat="1" ht="12.75">
      <c r="A915" s="7"/>
      <c r="B915" s="361"/>
      <c r="C915" s="361"/>
      <c r="D915" s="197"/>
      <c r="H915" s="323"/>
    </row>
    <row r="916" spans="1:8" s="6" customFormat="1" ht="12.75">
      <c r="A916" s="7"/>
      <c r="B916" s="361"/>
      <c r="C916" s="361"/>
      <c r="D916" s="197"/>
      <c r="H916" s="322"/>
    </row>
    <row r="917" spans="1:8" s="6" customFormat="1" ht="12.75">
      <c r="A917" s="7"/>
      <c r="B917" s="361"/>
      <c r="C917" s="361"/>
      <c r="D917" s="197"/>
      <c r="H917" s="322"/>
    </row>
    <row r="918" spans="1:8" s="18" customFormat="1" ht="12.75">
      <c r="A918" s="7"/>
      <c r="B918" s="361"/>
      <c r="C918" s="361"/>
      <c r="D918" s="197"/>
      <c r="H918" s="323"/>
    </row>
    <row r="919" spans="1:8" s="6" customFormat="1" ht="12.75">
      <c r="A919" s="7"/>
      <c r="B919" s="361"/>
      <c r="C919" s="361"/>
      <c r="D919" s="197"/>
      <c r="H919" s="322"/>
    </row>
    <row r="920" spans="1:8" s="6" customFormat="1" ht="12.75">
      <c r="A920" s="7"/>
      <c r="B920" s="361"/>
      <c r="C920" s="361"/>
      <c r="D920" s="197"/>
      <c r="H920" s="322"/>
    </row>
    <row r="921" spans="1:8" s="6" customFormat="1" ht="12.75">
      <c r="A921" s="7"/>
      <c r="B921" s="361"/>
      <c r="C921" s="361"/>
      <c r="D921" s="197"/>
      <c r="H921" s="322"/>
    </row>
    <row r="922" spans="1:8" s="6" customFormat="1" ht="12.75">
      <c r="A922" s="7"/>
      <c r="B922" s="361"/>
      <c r="C922" s="361"/>
      <c r="D922" s="197"/>
      <c r="H922" s="322"/>
    </row>
    <row r="923" spans="1:8" s="6" customFormat="1" ht="12.75">
      <c r="A923" s="7"/>
      <c r="B923" s="361"/>
      <c r="C923" s="361"/>
      <c r="D923" s="197"/>
      <c r="H923" s="322"/>
    </row>
    <row r="924" spans="1:8" s="6" customFormat="1" ht="12.75">
      <c r="A924" s="7"/>
      <c r="B924" s="361"/>
      <c r="C924" s="361"/>
      <c r="D924" s="197"/>
      <c r="H924" s="322"/>
    </row>
    <row r="925" spans="1:8" s="6" customFormat="1" ht="12.75">
      <c r="A925" s="7"/>
      <c r="B925" s="361"/>
      <c r="C925" s="361"/>
      <c r="D925" s="197"/>
      <c r="H925" s="322"/>
    </row>
    <row r="926" spans="1:8" s="13" customFormat="1" ht="15.75">
      <c r="A926" s="7"/>
      <c r="B926" s="361"/>
      <c r="C926" s="361"/>
      <c r="D926" s="197"/>
      <c r="H926" s="31"/>
    </row>
    <row r="927" spans="1:8" s="13" customFormat="1" ht="15.75">
      <c r="A927" s="7"/>
      <c r="B927" s="361"/>
      <c r="C927" s="361"/>
      <c r="D927" s="197"/>
      <c r="H927" s="31"/>
    </row>
    <row r="928" spans="1:8" s="13" customFormat="1" ht="15.75">
      <c r="A928" s="7"/>
      <c r="B928" s="361"/>
      <c r="C928" s="361"/>
      <c r="D928" s="197"/>
      <c r="H928" s="31"/>
    </row>
    <row r="929" spans="1:8" s="13" customFormat="1" ht="15.75">
      <c r="A929" s="7"/>
      <c r="B929" s="361"/>
      <c r="C929" s="361"/>
      <c r="D929" s="197"/>
      <c r="H929" s="31"/>
    </row>
    <row r="930" spans="1:8" s="13" customFormat="1" ht="15.75">
      <c r="A930" s="7"/>
      <c r="B930" s="361"/>
      <c r="C930" s="361"/>
      <c r="D930" s="197"/>
      <c r="H930" s="31"/>
    </row>
    <row r="931" spans="1:8" s="13" customFormat="1" ht="15.75">
      <c r="A931" s="7"/>
      <c r="B931" s="361"/>
      <c r="C931" s="361"/>
      <c r="D931" s="197"/>
      <c r="H931" s="31"/>
    </row>
    <row r="932" spans="1:8" s="13" customFormat="1" ht="15.75">
      <c r="A932" s="7"/>
      <c r="B932" s="361"/>
      <c r="C932" s="361"/>
      <c r="D932" s="197"/>
      <c r="H932" s="31"/>
    </row>
    <row r="933" spans="1:8" s="13" customFormat="1" ht="15.75">
      <c r="A933" s="7"/>
      <c r="B933" s="361"/>
      <c r="C933" s="361"/>
      <c r="D933" s="197"/>
      <c r="H933" s="31"/>
    </row>
    <row r="934" spans="1:8" s="13" customFormat="1" ht="15.75">
      <c r="A934" s="7"/>
      <c r="B934" s="361"/>
      <c r="C934" s="361"/>
      <c r="D934" s="197"/>
      <c r="H934" s="31"/>
    </row>
    <row r="935" spans="1:8" s="13" customFormat="1" ht="15.75">
      <c r="A935" s="7"/>
      <c r="B935" s="361"/>
      <c r="C935" s="361"/>
      <c r="D935" s="197"/>
      <c r="H935" s="31"/>
    </row>
    <row r="936" spans="1:8" s="13" customFormat="1" ht="15.75">
      <c r="A936" s="7"/>
      <c r="B936" s="361"/>
      <c r="C936" s="361"/>
      <c r="D936" s="197"/>
      <c r="H936" s="31"/>
    </row>
    <row r="937" spans="1:8" s="13" customFormat="1" ht="15.75">
      <c r="A937" s="7"/>
      <c r="B937" s="361"/>
      <c r="C937" s="361"/>
      <c r="D937" s="197"/>
      <c r="H937" s="31"/>
    </row>
    <row r="938" spans="1:8" s="13" customFormat="1" ht="15.75">
      <c r="A938" s="7"/>
      <c r="B938" s="361"/>
      <c r="C938" s="361"/>
      <c r="D938" s="197"/>
      <c r="H938" s="31"/>
    </row>
    <row r="939" spans="1:8" s="13" customFormat="1" ht="15.75">
      <c r="A939" s="7"/>
      <c r="B939" s="361"/>
      <c r="C939" s="361"/>
      <c r="D939" s="197"/>
      <c r="H939" s="31"/>
    </row>
    <row r="940" spans="1:8" s="13" customFormat="1" ht="15.75">
      <c r="A940" s="7"/>
      <c r="B940" s="361"/>
      <c r="C940" s="361"/>
      <c r="D940" s="197"/>
      <c r="H940" s="31"/>
    </row>
    <row r="941" spans="1:8" s="13" customFormat="1" ht="15.75">
      <c r="A941" s="7"/>
      <c r="B941" s="361"/>
      <c r="C941" s="361"/>
      <c r="D941" s="197"/>
      <c r="H941" s="31"/>
    </row>
    <row r="942" spans="1:8" s="13" customFormat="1" ht="15.75">
      <c r="A942" s="7"/>
      <c r="B942" s="361"/>
      <c r="C942" s="361"/>
      <c r="D942" s="197"/>
      <c r="H942" s="31"/>
    </row>
    <row r="943" spans="1:8" s="13" customFormat="1" ht="15.75">
      <c r="A943" s="7"/>
      <c r="B943" s="361"/>
      <c r="C943" s="361"/>
      <c r="D943" s="197"/>
      <c r="H943" s="31"/>
    </row>
    <row r="944" spans="1:8" s="13" customFormat="1" ht="15.75">
      <c r="A944" s="7"/>
      <c r="B944" s="361"/>
      <c r="C944" s="361"/>
      <c r="D944" s="197"/>
      <c r="H944" s="31"/>
    </row>
    <row r="945" spans="1:8" s="13" customFormat="1" ht="15.75">
      <c r="A945" s="7"/>
      <c r="B945" s="361"/>
      <c r="C945" s="361"/>
      <c r="D945" s="197"/>
      <c r="H945" s="31"/>
    </row>
    <row r="946" spans="1:8" s="13" customFormat="1" ht="15.75">
      <c r="A946" s="7"/>
      <c r="B946" s="361"/>
      <c r="C946" s="361"/>
      <c r="D946" s="197"/>
      <c r="H946" s="31"/>
    </row>
    <row r="947" spans="1:8" s="13" customFormat="1" ht="15.75">
      <c r="A947" s="7"/>
      <c r="B947" s="361"/>
      <c r="C947" s="361"/>
      <c r="D947" s="197"/>
      <c r="H947" s="31"/>
    </row>
    <row r="948" spans="1:8" s="13" customFormat="1" ht="15.75">
      <c r="A948" s="7"/>
      <c r="B948" s="361"/>
      <c r="C948" s="361"/>
      <c r="D948" s="197"/>
      <c r="H948" s="31"/>
    </row>
    <row r="949" spans="1:8" s="13" customFormat="1" ht="15.75">
      <c r="A949" s="7"/>
      <c r="B949" s="361"/>
      <c r="C949" s="361"/>
      <c r="D949" s="197"/>
      <c r="H949" s="31"/>
    </row>
    <row r="950" spans="1:8" s="13" customFormat="1" ht="15.75">
      <c r="A950" s="7"/>
      <c r="B950" s="361"/>
      <c r="C950" s="361"/>
      <c r="D950" s="197"/>
      <c r="H950" s="31"/>
    </row>
    <row r="951" spans="1:8" s="13" customFormat="1" ht="15.75">
      <c r="A951" s="7"/>
      <c r="B951" s="361"/>
      <c r="C951" s="361"/>
      <c r="D951" s="197"/>
      <c r="H951" s="31"/>
    </row>
    <row r="952" spans="1:8" s="13" customFormat="1" ht="15.75">
      <c r="A952" s="7"/>
      <c r="B952" s="361"/>
      <c r="C952" s="361"/>
      <c r="D952" s="197"/>
      <c r="H952" s="31"/>
    </row>
    <row r="953" spans="1:8" s="13" customFormat="1" ht="15.75">
      <c r="A953" s="7"/>
      <c r="B953" s="361"/>
      <c r="C953" s="361"/>
      <c r="D953" s="197"/>
      <c r="H953" s="31"/>
    </row>
    <row r="954" spans="1:8" s="13" customFormat="1" ht="15.75">
      <c r="A954" s="7"/>
      <c r="B954" s="361"/>
      <c r="C954" s="361"/>
      <c r="D954" s="197"/>
      <c r="H954" s="31"/>
    </row>
    <row r="955" spans="1:8" s="13" customFormat="1" ht="15.75">
      <c r="A955" s="7"/>
      <c r="B955" s="361"/>
      <c r="C955" s="361"/>
      <c r="D955" s="197"/>
      <c r="H955" s="31"/>
    </row>
    <row r="956" spans="1:8" s="13" customFormat="1" ht="15.75">
      <c r="A956" s="7"/>
      <c r="B956" s="361"/>
      <c r="C956" s="361"/>
      <c r="D956" s="197"/>
      <c r="H956" s="31"/>
    </row>
    <row r="957" spans="1:8" s="13" customFormat="1" ht="15.75">
      <c r="A957" s="7"/>
      <c r="B957" s="361"/>
      <c r="C957" s="361"/>
      <c r="D957" s="197"/>
      <c r="H957" s="31"/>
    </row>
    <row r="958" spans="1:8" s="13" customFormat="1" ht="15.75">
      <c r="A958" s="7"/>
      <c r="B958" s="361"/>
      <c r="C958" s="361"/>
      <c r="D958" s="197"/>
      <c r="H958" s="31"/>
    </row>
    <row r="959" spans="1:8" s="13" customFormat="1" ht="15.75">
      <c r="A959" s="7"/>
      <c r="B959" s="361"/>
      <c r="C959" s="361"/>
      <c r="D959" s="197"/>
      <c r="H959" s="31"/>
    </row>
    <row r="960" spans="1:8" s="13" customFormat="1" ht="15.75">
      <c r="A960" s="7"/>
      <c r="B960" s="361"/>
      <c r="C960" s="361"/>
      <c r="D960" s="197"/>
      <c r="H960" s="31"/>
    </row>
    <row r="961" spans="1:8" s="13" customFormat="1" ht="15.75">
      <c r="A961" s="7"/>
      <c r="B961" s="361"/>
      <c r="C961" s="361"/>
      <c r="D961" s="197"/>
      <c r="H961" s="31"/>
    </row>
    <row r="962" spans="1:8" s="13" customFormat="1" ht="15.75">
      <c r="A962" s="7"/>
      <c r="B962" s="361"/>
      <c r="C962" s="361"/>
      <c r="D962" s="197"/>
      <c r="H962" s="31"/>
    </row>
    <row r="963" spans="1:8" s="13" customFormat="1" ht="15.75">
      <c r="A963" s="7"/>
      <c r="B963" s="361"/>
      <c r="C963" s="361"/>
      <c r="D963" s="197"/>
      <c r="H963" s="31"/>
    </row>
    <row r="964" spans="1:8" s="13" customFormat="1" ht="15.75">
      <c r="A964" s="7"/>
      <c r="B964" s="361"/>
      <c r="C964" s="361"/>
      <c r="D964" s="197"/>
      <c r="H964" s="31"/>
    </row>
    <row r="965" spans="1:8" s="13" customFormat="1" ht="15.75">
      <c r="A965" s="7"/>
      <c r="B965" s="361"/>
      <c r="C965" s="361"/>
      <c r="D965" s="197"/>
      <c r="H965" s="31"/>
    </row>
    <row r="966" spans="1:8" s="13" customFormat="1" ht="15.75">
      <c r="A966" s="7"/>
      <c r="B966" s="361"/>
      <c r="C966" s="361"/>
      <c r="D966" s="197"/>
      <c r="H966" s="31"/>
    </row>
    <row r="967" spans="1:8" s="13" customFormat="1" ht="15.75">
      <c r="A967" s="7"/>
      <c r="B967" s="361"/>
      <c r="C967" s="361"/>
      <c r="D967" s="197"/>
      <c r="H967" s="31"/>
    </row>
    <row r="968" spans="1:8" s="13" customFormat="1" ht="15.75">
      <c r="A968" s="7"/>
      <c r="B968" s="361"/>
      <c r="C968" s="361"/>
      <c r="D968" s="197"/>
      <c r="H968" s="31"/>
    </row>
    <row r="969" spans="1:8" s="13" customFormat="1" ht="15.75">
      <c r="A969" s="7"/>
      <c r="B969" s="361"/>
      <c r="C969" s="361"/>
      <c r="D969" s="197"/>
      <c r="H969" s="31"/>
    </row>
    <row r="970" spans="1:8" s="13" customFormat="1" ht="15.75">
      <c r="A970" s="7"/>
      <c r="B970" s="361"/>
      <c r="C970" s="361"/>
      <c r="D970" s="197"/>
      <c r="H970" s="31"/>
    </row>
    <row r="971" spans="1:8" s="13" customFormat="1" ht="15.75">
      <c r="A971" s="7"/>
      <c r="B971" s="361"/>
      <c r="C971" s="361"/>
      <c r="D971" s="197"/>
      <c r="H971" s="31"/>
    </row>
    <row r="972" spans="1:8" s="13" customFormat="1" ht="15.75">
      <c r="A972" s="7"/>
      <c r="B972" s="361"/>
      <c r="C972" s="361"/>
      <c r="D972" s="197"/>
      <c r="H972" s="31"/>
    </row>
    <row r="973" spans="1:8" s="13" customFormat="1" ht="15.75">
      <c r="A973" s="7"/>
      <c r="B973" s="361"/>
      <c r="C973" s="361"/>
      <c r="D973" s="197"/>
      <c r="H973" s="31"/>
    </row>
    <row r="974" spans="1:8" s="13" customFormat="1" ht="15.75">
      <c r="A974" s="7"/>
      <c r="B974" s="361"/>
      <c r="C974" s="361"/>
      <c r="D974" s="197"/>
      <c r="H974" s="31"/>
    </row>
    <row r="975" spans="1:8" s="13" customFormat="1" ht="15.75">
      <c r="A975" s="7"/>
      <c r="B975" s="361"/>
      <c r="C975" s="361"/>
      <c r="D975" s="197"/>
      <c r="H975" s="31"/>
    </row>
    <row r="976" spans="1:8" s="13" customFormat="1" ht="15.75">
      <c r="A976" s="7"/>
      <c r="B976" s="361"/>
      <c r="C976" s="361"/>
      <c r="D976" s="197"/>
      <c r="H976" s="31"/>
    </row>
    <row r="977" spans="1:8" s="13" customFormat="1" ht="15.75">
      <c r="A977" s="7"/>
      <c r="B977" s="361"/>
      <c r="C977" s="361"/>
      <c r="D977" s="197"/>
      <c r="H977" s="31"/>
    </row>
    <row r="978" spans="1:8" s="13" customFormat="1" ht="15.75">
      <c r="A978" s="7"/>
      <c r="B978" s="361"/>
      <c r="C978" s="361"/>
      <c r="D978" s="197"/>
      <c r="H978" s="31"/>
    </row>
    <row r="979" spans="1:8" s="13" customFormat="1" ht="15.75">
      <c r="A979" s="7"/>
      <c r="B979" s="361"/>
      <c r="C979" s="361"/>
      <c r="D979" s="197"/>
      <c r="H979" s="31"/>
    </row>
    <row r="980" spans="1:8" s="13" customFormat="1" ht="15.75">
      <c r="A980" s="7"/>
      <c r="B980" s="361"/>
      <c r="C980" s="361"/>
      <c r="D980" s="197"/>
      <c r="H980" s="31"/>
    </row>
    <row r="981" spans="1:8" s="13" customFormat="1" ht="15.75">
      <c r="A981" s="7"/>
      <c r="B981" s="361"/>
      <c r="C981" s="361"/>
      <c r="D981" s="197"/>
      <c r="H981" s="31"/>
    </row>
    <row r="982" spans="1:8" s="13" customFormat="1" ht="15.75">
      <c r="A982" s="7"/>
      <c r="B982" s="361"/>
      <c r="C982" s="361"/>
      <c r="D982" s="197"/>
      <c r="H982" s="31"/>
    </row>
    <row r="983" spans="1:8" s="13" customFormat="1" ht="15.75">
      <c r="A983" s="7"/>
      <c r="B983" s="361"/>
      <c r="C983" s="361"/>
      <c r="D983" s="197"/>
      <c r="H983" s="31"/>
    </row>
    <row r="984" spans="1:8" s="13" customFormat="1" ht="15.75">
      <c r="A984" s="7"/>
      <c r="B984" s="361"/>
      <c r="C984" s="361"/>
      <c r="D984" s="197"/>
      <c r="H984" s="31"/>
    </row>
    <row r="985" spans="1:8" s="13" customFormat="1" ht="15.75">
      <c r="A985" s="7"/>
      <c r="B985" s="361"/>
      <c r="C985" s="361"/>
      <c r="D985" s="197"/>
      <c r="H985" s="31"/>
    </row>
    <row r="986" spans="1:8" s="13" customFormat="1" ht="15.75">
      <c r="A986" s="7"/>
      <c r="B986" s="361"/>
      <c r="C986" s="361"/>
      <c r="D986" s="197"/>
      <c r="H986" s="31"/>
    </row>
    <row r="987" spans="1:8" s="13" customFormat="1" ht="15.75">
      <c r="A987" s="7"/>
      <c r="B987" s="361"/>
      <c r="C987" s="361"/>
      <c r="D987" s="197"/>
      <c r="H987" s="31"/>
    </row>
    <row r="988" spans="1:8" s="13" customFormat="1" ht="15.75">
      <c r="A988" s="7"/>
      <c r="B988" s="361"/>
      <c r="C988" s="361"/>
      <c r="D988" s="197"/>
      <c r="H988" s="31"/>
    </row>
    <row r="989" spans="1:8" s="13" customFormat="1" ht="15.75">
      <c r="A989" s="7"/>
      <c r="B989" s="361"/>
      <c r="C989" s="361"/>
      <c r="D989" s="197"/>
      <c r="H989" s="31"/>
    </row>
    <row r="990" spans="1:8" s="13" customFormat="1" ht="15.75">
      <c r="A990" s="7"/>
      <c r="B990" s="361"/>
      <c r="C990" s="361"/>
      <c r="D990" s="197"/>
      <c r="H990" s="31"/>
    </row>
    <row r="991" spans="1:8" s="13" customFormat="1" ht="15.75">
      <c r="A991" s="7"/>
      <c r="B991" s="361"/>
      <c r="C991" s="361"/>
      <c r="D991" s="197"/>
      <c r="H991" s="31"/>
    </row>
    <row r="992" spans="1:8" s="13" customFormat="1" ht="15.75">
      <c r="A992" s="7"/>
      <c r="B992" s="361"/>
      <c r="C992" s="361"/>
      <c r="D992" s="197"/>
      <c r="H992" s="31"/>
    </row>
    <row r="993" spans="1:8" s="13" customFormat="1" ht="15.75">
      <c r="A993" s="7"/>
      <c r="B993" s="361"/>
      <c r="C993" s="361"/>
      <c r="D993" s="197"/>
      <c r="H993" s="31"/>
    </row>
    <row r="994" spans="1:8" s="13" customFormat="1" ht="15.75">
      <c r="A994" s="7"/>
      <c r="B994" s="361"/>
      <c r="C994" s="361"/>
      <c r="D994" s="197"/>
      <c r="H994" s="31"/>
    </row>
    <row r="995" spans="1:8" s="13" customFormat="1" ht="15.75">
      <c r="A995" s="7"/>
      <c r="B995" s="361"/>
      <c r="C995" s="361"/>
      <c r="D995" s="197"/>
      <c r="H995" s="31"/>
    </row>
    <row r="996" spans="1:8" s="13" customFormat="1" ht="15.75">
      <c r="A996" s="7"/>
      <c r="B996" s="361"/>
      <c r="C996" s="361"/>
      <c r="D996" s="197"/>
      <c r="H996" s="31"/>
    </row>
    <row r="997" spans="1:8" s="13" customFormat="1" ht="15.75">
      <c r="A997" s="7"/>
      <c r="B997" s="361"/>
      <c r="C997" s="361"/>
      <c r="D997" s="197"/>
      <c r="H997" s="31"/>
    </row>
    <row r="998" spans="1:8" s="13" customFormat="1" ht="15.75">
      <c r="A998" s="7"/>
      <c r="B998" s="361"/>
      <c r="C998" s="361"/>
      <c r="D998" s="197"/>
      <c r="H998" s="31"/>
    </row>
    <row r="999" spans="1:8" s="13" customFormat="1" ht="15.75">
      <c r="A999" s="7"/>
      <c r="B999" s="361"/>
      <c r="C999" s="361"/>
      <c r="D999" s="197"/>
      <c r="H999" s="31"/>
    </row>
    <row r="1000" spans="1:8" s="13" customFormat="1" ht="15.75">
      <c r="A1000" s="7"/>
      <c r="B1000" s="361"/>
      <c r="C1000" s="361"/>
      <c r="D1000" s="197"/>
      <c r="H1000" s="31"/>
    </row>
    <row r="1001" spans="1:8" s="13" customFormat="1" ht="15.75">
      <c r="A1001" s="7"/>
      <c r="B1001" s="361"/>
      <c r="C1001" s="361"/>
      <c r="D1001" s="197"/>
      <c r="H1001" s="31"/>
    </row>
    <row r="1002" spans="1:8" s="13" customFormat="1" ht="15.75">
      <c r="A1002" s="7"/>
      <c r="B1002" s="361"/>
      <c r="C1002" s="361"/>
      <c r="D1002" s="197"/>
      <c r="H1002" s="31"/>
    </row>
    <row r="1003" spans="1:8" s="13" customFormat="1" ht="15.75">
      <c r="A1003" s="7"/>
      <c r="B1003" s="361"/>
      <c r="C1003" s="361"/>
      <c r="D1003" s="197"/>
      <c r="H1003" s="31"/>
    </row>
    <row r="1004" spans="1:8" s="13" customFormat="1" ht="15.75">
      <c r="A1004" s="7"/>
      <c r="B1004" s="361"/>
      <c r="C1004" s="361"/>
      <c r="D1004" s="197"/>
      <c r="H1004" s="31"/>
    </row>
    <row r="1005" spans="1:8" s="13" customFormat="1" ht="15.75">
      <c r="A1005" s="7"/>
      <c r="B1005" s="361"/>
      <c r="C1005" s="361"/>
      <c r="D1005" s="197"/>
      <c r="H1005" s="31"/>
    </row>
    <row r="1006" spans="1:8" s="13" customFormat="1" ht="15.75">
      <c r="A1006" s="7"/>
      <c r="B1006" s="361"/>
      <c r="C1006" s="361"/>
      <c r="D1006" s="197"/>
      <c r="H1006" s="31"/>
    </row>
    <row r="1007" spans="1:8" s="13" customFormat="1" ht="15.75">
      <c r="A1007" s="7"/>
      <c r="B1007" s="361"/>
      <c r="C1007" s="361"/>
      <c r="D1007" s="197"/>
      <c r="H1007" s="31"/>
    </row>
    <row r="1008" spans="1:8" s="13" customFormat="1" ht="15.75">
      <c r="A1008" s="7"/>
      <c r="B1008" s="361"/>
      <c r="C1008" s="361"/>
      <c r="D1008" s="197"/>
      <c r="H1008" s="31"/>
    </row>
    <row r="1009" spans="1:8" s="13" customFormat="1" ht="15.75">
      <c r="A1009" s="7"/>
      <c r="B1009" s="361"/>
      <c r="C1009" s="361"/>
      <c r="D1009" s="197"/>
      <c r="H1009" s="31"/>
    </row>
    <row r="1010" spans="1:8" s="13" customFormat="1" ht="15.75">
      <c r="A1010" s="7"/>
      <c r="B1010" s="361"/>
      <c r="C1010" s="361"/>
      <c r="D1010" s="197"/>
      <c r="H1010" s="31"/>
    </row>
    <row r="1011" spans="1:8" s="13" customFormat="1" ht="15.75">
      <c r="A1011" s="7"/>
      <c r="B1011" s="361"/>
      <c r="C1011" s="361"/>
      <c r="D1011" s="197"/>
      <c r="H1011" s="31"/>
    </row>
    <row r="1012" spans="1:8" s="13" customFormat="1" ht="15.75">
      <c r="A1012" s="7"/>
      <c r="B1012" s="361"/>
      <c r="C1012" s="361"/>
      <c r="D1012" s="197"/>
      <c r="H1012" s="31"/>
    </row>
    <row r="1013" spans="1:8" s="13" customFormat="1" ht="15.75">
      <c r="A1013" s="7"/>
      <c r="B1013" s="361"/>
      <c r="C1013" s="361"/>
      <c r="D1013" s="197"/>
      <c r="H1013" s="31"/>
    </row>
    <row r="1014" spans="1:8" s="13" customFormat="1" ht="15.75">
      <c r="A1014" s="7"/>
      <c r="B1014" s="361"/>
      <c r="C1014" s="361"/>
      <c r="D1014" s="197"/>
      <c r="H1014" s="31"/>
    </row>
    <row r="1015" spans="1:8" s="13" customFormat="1" ht="15.75">
      <c r="A1015" s="7"/>
      <c r="B1015" s="361"/>
      <c r="C1015" s="361"/>
      <c r="D1015" s="197"/>
      <c r="H1015" s="31"/>
    </row>
    <row r="1016" spans="1:8" s="13" customFormat="1" ht="15.75">
      <c r="A1016" s="7"/>
      <c r="B1016" s="361"/>
      <c r="C1016" s="361"/>
      <c r="D1016" s="197"/>
      <c r="H1016" s="31"/>
    </row>
    <row r="1017" spans="1:8" s="13" customFormat="1" ht="15.75">
      <c r="A1017" s="7"/>
      <c r="B1017" s="361"/>
      <c r="C1017" s="361"/>
      <c r="D1017" s="197"/>
      <c r="H1017" s="31"/>
    </row>
    <row r="1018" spans="1:8" s="13" customFormat="1" ht="15.75">
      <c r="A1018" s="7"/>
      <c r="B1018" s="361"/>
      <c r="C1018" s="361"/>
      <c r="D1018" s="197"/>
      <c r="H1018" s="31"/>
    </row>
    <row r="1019" spans="1:8" s="13" customFormat="1" ht="15.75">
      <c r="A1019" s="7"/>
      <c r="B1019" s="361"/>
      <c r="C1019" s="361"/>
      <c r="D1019" s="197"/>
      <c r="H1019" s="31"/>
    </row>
    <row r="1020" spans="1:8" s="13" customFormat="1" ht="15.75">
      <c r="A1020" s="7"/>
      <c r="B1020" s="361"/>
      <c r="C1020" s="361"/>
      <c r="D1020" s="197"/>
      <c r="H1020" s="31"/>
    </row>
    <row r="1021" spans="1:8" s="13" customFormat="1" ht="15.75">
      <c r="A1021" s="7"/>
      <c r="B1021" s="361"/>
      <c r="C1021" s="361"/>
      <c r="D1021" s="197"/>
      <c r="H1021" s="31"/>
    </row>
    <row r="1022" spans="1:8" s="13" customFormat="1" ht="15.75">
      <c r="A1022" s="7"/>
      <c r="B1022" s="361"/>
      <c r="C1022" s="361"/>
      <c r="D1022" s="197"/>
      <c r="H1022" s="31"/>
    </row>
    <row r="1023" spans="1:8" s="13" customFormat="1" ht="15.75">
      <c r="A1023" s="7"/>
      <c r="B1023" s="361"/>
      <c r="C1023" s="361"/>
      <c r="D1023" s="197"/>
      <c r="H1023" s="31"/>
    </row>
    <row r="1024" spans="1:8" s="13" customFormat="1" ht="15.75">
      <c r="A1024" s="7"/>
      <c r="B1024" s="361"/>
      <c r="C1024" s="361"/>
      <c r="D1024" s="197"/>
      <c r="H1024" s="31"/>
    </row>
    <row r="1025" spans="1:8" s="13" customFormat="1" ht="15.75">
      <c r="A1025" s="7"/>
      <c r="B1025" s="361"/>
      <c r="C1025" s="361"/>
      <c r="D1025" s="197"/>
      <c r="H1025" s="31"/>
    </row>
    <row r="1026" spans="1:8" s="13" customFormat="1" ht="15.75">
      <c r="A1026" s="7"/>
      <c r="B1026" s="361"/>
      <c r="C1026" s="361"/>
      <c r="D1026" s="197"/>
      <c r="H1026" s="31"/>
    </row>
    <row r="1027" spans="1:8" s="13" customFormat="1" ht="15.75">
      <c r="A1027" s="7"/>
      <c r="B1027" s="361"/>
      <c r="C1027" s="361"/>
      <c r="D1027" s="197"/>
      <c r="H1027" s="31"/>
    </row>
    <row r="1028" spans="1:8" s="13" customFormat="1" ht="15.75">
      <c r="A1028" s="7"/>
      <c r="B1028" s="361"/>
      <c r="C1028" s="361"/>
      <c r="D1028" s="197"/>
      <c r="H1028" s="31"/>
    </row>
    <row r="1029" spans="1:8" s="13" customFormat="1" ht="15.75">
      <c r="A1029" s="7"/>
      <c r="B1029" s="361"/>
      <c r="C1029" s="361"/>
      <c r="D1029" s="197"/>
      <c r="H1029" s="31"/>
    </row>
    <row r="1030" spans="1:8" s="13" customFormat="1" ht="15.75">
      <c r="A1030" s="7"/>
      <c r="B1030" s="361"/>
      <c r="C1030" s="361"/>
      <c r="D1030" s="197"/>
      <c r="H1030" s="31"/>
    </row>
    <row r="1031" spans="1:8" s="13" customFormat="1" ht="15.75">
      <c r="A1031" s="7"/>
      <c r="B1031" s="361"/>
      <c r="C1031" s="361"/>
      <c r="D1031" s="197"/>
      <c r="H1031" s="31"/>
    </row>
    <row r="1032" spans="1:8" s="13" customFormat="1" ht="15.75">
      <c r="A1032" s="7"/>
      <c r="B1032" s="361"/>
      <c r="C1032" s="361"/>
      <c r="D1032" s="197"/>
      <c r="H1032" s="31"/>
    </row>
    <row r="1033" spans="1:8" s="13" customFormat="1" ht="15.75">
      <c r="A1033" s="7"/>
      <c r="B1033" s="361"/>
      <c r="C1033" s="361"/>
      <c r="D1033" s="197"/>
      <c r="H1033" s="31"/>
    </row>
    <row r="1034" spans="1:8" s="13" customFormat="1" ht="15.75">
      <c r="A1034" s="7"/>
      <c r="B1034" s="361"/>
      <c r="C1034" s="361"/>
      <c r="D1034" s="197"/>
      <c r="H1034" s="31"/>
    </row>
    <row r="1035" spans="1:8" s="13" customFormat="1" ht="15.75">
      <c r="A1035" s="7"/>
      <c r="B1035" s="361"/>
      <c r="C1035" s="361"/>
      <c r="D1035" s="197"/>
      <c r="H1035" s="31"/>
    </row>
    <row r="1036" spans="1:8" s="13" customFormat="1" ht="15.75">
      <c r="A1036" s="7"/>
      <c r="B1036" s="361"/>
      <c r="C1036" s="361"/>
      <c r="D1036" s="197"/>
      <c r="H1036" s="31"/>
    </row>
    <row r="1037" spans="1:8" s="13" customFormat="1" ht="15.75">
      <c r="A1037" s="7"/>
      <c r="B1037" s="361"/>
      <c r="C1037" s="361"/>
      <c r="D1037" s="197"/>
      <c r="H1037" s="31"/>
    </row>
    <row r="1038" spans="1:8" s="13" customFormat="1" ht="15.75">
      <c r="A1038" s="7"/>
      <c r="B1038" s="361"/>
      <c r="C1038" s="361"/>
      <c r="D1038" s="197"/>
      <c r="H1038" s="31"/>
    </row>
    <row r="1039" spans="1:8" s="13" customFormat="1" ht="15.75">
      <c r="A1039" s="7"/>
      <c r="B1039" s="361"/>
      <c r="C1039" s="361"/>
      <c r="D1039" s="197"/>
      <c r="H1039" s="31"/>
    </row>
    <row r="1040" spans="1:8" s="13" customFormat="1" ht="15.75">
      <c r="A1040" s="7"/>
      <c r="B1040" s="361"/>
      <c r="C1040" s="361"/>
      <c r="D1040" s="197"/>
      <c r="H1040" s="31"/>
    </row>
    <row r="1041" spans="1:8" s="13" customFormat="1" ht="15.75">
      <c r="A1041" s="7"/>
      <c r="B1041" s="361"/>
      <c r="C1041" s="361"/>
      <c r="D1041" s="197"/>
      <c r="H1041" s="31"/>
    </row>
    <row r="1042" spans="1:8" s="13" customFormat="1" ht="15.75">
      <c r="A1042" s="7"/>
      <c r="B1042" s="361"/>
      <c r="C1042" s="361"/>
      <c r="D1042" s="197"/>
      <c r="H1042" s="31"/>
    </row>
    <row r="1043" spans="1:8" s="13" customFormat="1" ht="15.75">
      <c r="A1043" s="7"/>
      <c r="B1043" s="361"/>
      <c r="C1043" s="361"/>
      <c r="D1043" s="197"/>
      <c r="H1043" s="31"/>
    </row>
    <row r="1044" spans="1:8" s="13" customFormat="1" ht="15.75">
      <c r="A1044" s="7"/>
      <c r="B1044" s="361"/>
      <c r="C1044" s="361"/>
      <c r="D1044" s="197"/>
      <c r="H1044" s="31"/>
    </row>
    <row r="1045" spans="1:8" s="13" customFormat="1" ht="15.75">
      <c r="A1045" s="7"/>
      <c r="B1045" s="361"/>
      <c r="C1045" s="361"/>
      <c r="D1045" s="197"/>
      <c r="H1045" s="31"/>
    </row>
    <row r="1046" spans="1:8" s="13" customFormat="1" ht="15.75">
      <c r="A1046" s="7"/>
      <c r="B1046" s="361"/>
      <c r="C1046" s="361"/>
      <c r="D1046" s="197"/>
      <c r="H1046" s="31"/>
    </row>
    <row r="1047" spans="1:8" s="13" customFormat="1" ht="15.75">
      <c r="A1047" s="7"/>
      <c r="B1047" s="361"/>
      <c r="C1047" s="361"/>
      <c r="D1047" s="197"/>
      <c r="H1047" s="31"/>
    </row>
    <row r="1048" spans="1:8" s="13" customFormat="1" ht="15.75">
      <c r="A1048" s="7"/>
      <c r="B1048" s="361"/>
      <c r="C1048" s="361"/>
      <c r="D1048" s="197"/>
      <c r="H1048" s="31"/>
    </row>
    <row r="1049" spans="1:8" s="13" customFormat="1" ht="15.75">
      <c r="A1049" s="7"/>
      <c r="B1049" s="361"/>
      <c r="C1049" s="361"/>
      <c r="D1049" s="197"/>
      <c r="H1049" s="31"/>
    </row>
    <row r="1050" spans="1:8" s="13" customFormat="1" ht="15.75">
      <c r="A1050" s="7"/>
      <c r="B1050" s="361"/>
      <c r="C1050" s="361"/>
      <c r="D1050" s="197"/>
      <c r="H1050" s="31"/>
    </row>
    <row r="1051" spans="1:8" s="13" customFormat="1" ht="15.75">
      <c r="A1051" s="7"/>
      <c r="B1051" s="361"/>
      <c r="C1051" s="361"/>
      <c r="D1051" s="197"/>
      <c r="H1051" s="31"/>
    </row>
    <row r="1052" spans="1:8" s="13" customFormat="1" ht="15.75">
      <c r="A1052" s="7"/>
      <c r="B1052" s="361"/>
      <c r="C1052" s="361"/>
      <c r="D1052" s="197"/>
      <c r="H1052" s="31"/>
    </row>
    <row r="1053" spans="1:8" s="13" customFormat="1" ht="15.75">
      <c r="A1053" s="7"/>
      <c r="B1053" s="361"/>
      <c r="C1053" s="361"/>
      <c r="D1053" s="197"/>
      <c r="H1053" s="31"/>
    </row>
    <row r="1054" spans="1:8" s="13" customFormat="1" ht="15.75">
      <c r="A1054" s="7"/>
      <c r="B1054" s="361"/>
      <c r="C1054" s="361"/>
      <c r="D1054" s="197"/>
      <c r="H1054" s="31"/>
    </row>
    <row r="1055" spans="1:8" s="13" customFormat="1" ht="15.75">
      <c r="A1055" s="7"/>
      <c r="B1055" s="361"/>
      <c r="C1055" s="361"/>
      <c r="D1055" s="197"/>
      <c r="H1055" s="31"/>
    </row>
    <row r="1056" spans="1:8" s="13" customFormat="1" ht="15.75">
      <c r="A1056" s="7"/>
      <c r="B1056" s="361"/>
      <c r="C1056" s="361"/>
      <c r="D1056" s="197"/>
      <c r="H1056" s="31"/>
    </row>
    <row r="1057" spans="1:8" s="13" customFormat="1" ht="15.75">
      <c r="A1057" s="7"/>
      <c r="B1057" s="361"/>
      <c r="C1057" s="361"/>
      <c r="D1057" s="197"/>
      <c r="H1057" s="31"/>
    </row>
    <row r="1058" spans="1:8" s="13" customFormat="1" ht="15.75">
      <c r="A1058" s="7"/>
      <c r="B1058" s="361"/>
      <c r="C1058" s="361"/>
      <c r="D1058" s="197"/>
      <c r="H1058" s="31"/>
    </row>
    <row r="1059" spans="1:8" s="13" customFormat="1" ht="15.75">
      <c r="A1059" s="7"/>
      <c r="B1059" s="361"/>
      <c r="C1059" s="361"/>
      <c r="D1059" s="197"/>
      <c r="H1059" s="31"/>
    </row>
    <row r="1060" spans="1:8" s="13" customFormat="1" ht="15.75">
      <c r="A1060" s="7"/>
      <c r="B1060" s="361"/>
      <c r="C1060" s="361"/>
      <c r="D1060" s="197"/>
      <c r="H1060" s="31"/>
    </row>
    <row r="1061" spans="1:8" s="13" customFormat="1" ht="15.75">
      <c r="A1061" s="7"/>
      <c r="B1061" s="361"/>
      <c r="C1061" s="361"/>
      <c r="D1061" s="197"/>
      <c r="H1061" s="31"/>
    </row>
    <row r="1062" spans="1:8" s="13" customFormat="1" ht="15.75">
      <c r="A1062" s="7"/>
      <c r="B1062" s="361"/>
      <c r="C1062" s="361"/>
      <c r="D1062" s="197"/>
      <c r="H1062" s="31"/>
    </row>
    <row r="1063" spans="1:8" s="13" customFormat="1" ht="15.75">
      <c r="A1063" s="7"/>
      <c r="B1063" s="361"/>
      <c r="C1063" s="361"/>
      <c r="D1063" s="197"/>
      <c r="H1063" s="31"/>
    </row>
    <row r="1064" spans="1:8" s="13" customFormat="1" ht="15.75">
      <c r="A1064" s="7"/>
      <c r="B1064" s="361"/>
      <c r="C1064" s="361"/>
      <c r="D1064" s="197"/>
      <c r="H1064" s="31"/>
    </row>
    <row r="1065" spans="1:8" s="13" customFormat="1" ht="15.75">
      <c r="A1065" s="7"/>
      <c r="B1065" s="361"/>
      <c r="C1065" s="361"/>
      <c r="D1065" s="197"/>
      <c r="H1065" s="31"/>
    </row>
    <row r="1066" spans="1:8" s="13" customFormat="1" ht="15.75">
      <c r="A1066" s="7"/>
      <c r="B1066" s="361"/>
      <c r="C1066" s="361"/>
      <c r="D1066" s="197"/>
      <c r="H1066" s="31"/>
    </row>
    <row r="1067" spans="1:8" s="13" customFormat="1" ht="15.75">
      <c r="A1067" s="7"/>
      <c r="B1067" s="361"/>
      <c r="C1067" s="361"/>
      <c r="D1067" s="197"/>
      <c r="H1067" s="31"/>
    </row>
    <row r="1068" spans="1:4" ht="15.75">
      <c r="A1068" s="7"/>
      <c r="B1068" s="361"/>
      <c r="C1068" s="361"/>
      <c r="D1068" s="197"/>
    </row>
    <row r="1069" spans="1:4" ht="15.75">
      <c r="A1069" s="7"/>
      <c r="B1069" s="361"/>
      <c r="C1069" s="361"/>
      <c r="D1069" s="197"/>
    </row>
    <row r="1070" spans="1:4" ht="15.75">
      <c r="A1070" s="7"/>
      <c r="B1070" s="361"/>
      <c r="C1070" s="361"/>
      <c r="D1070" s="197"/>
    </row>
    <row r="1071" spans="1:4" ht="15.75">
      <c r="A1071" s="7"/>
      <c r="B1071" s="361"/>
      <c r="C1071" s="361"/>
      <c r="D1071" s="197"/>
    </row>
    <row r="1072" spans="1:4" ht="15.75">
      <c r="A1072" s="7"/>
      <c r="B1072" s="361"/>
      <c r="C1072" s="361"/>
      <c r="D1072" s="197"/>
    </row>
    <row r="1073" spans="1:4" ht="15.75">
      <c r="A1073" s="7"/>
      <c r="B1073" s="361"/>
      <c r="C1073" s="361"/>
      <c r="D1073" s="197"/>
    </row>
    <row r="1074" spans="1:4" ht="15.75">
      <c r="A1074" s="7"/>
      <c r="B1074" s="361"/>
      <c r="C1074" s="361"/>
      <c r="D1074" s="197"/>
    </row>
    <row r="1075" spans="1:4" ht="15.75">
      <c r="A1075" s="7"/>
      <c r="B1075" s="361"/>
      <c r="C1075" s="361"/>
      <c r="D1075" s="197"/>
    </row>
    <row r="1076" spans="1:4" ht="15.75">
      <c r="A1076" s="7"/>
      <c r="B1076" s="361"/>
      <c r="C1076" s="361"/>
      <c r="D1076" s="197"/>
    </row>
    <row r="1077" spans="1:4" ht="15.75">
      <c r="A1077" s="7"/>
      <c r="B1077" s="361"/>
      <c r="C1077" s="361"/>
      <c r="D1077" s="197"/>
    </row>
    <row r="1078" spans="1:4" ht="15.75">
      <c r="A1078" s="7"/>
      <c r="B1078" s="361"/>
      <c r="C1078" s="361"/>
      <c r="D1078" s="197"/>
    </row>
    <row r="1079" spans="1:4" ht="15.75">
      <c r="A1079" s="7"/>
      <c r="B1079" s="361"/>
      <c r="C1079" s="361"/>
      <c r="D1079" s="197"/>
    </row>
    <row r="1080" spans="1:4" ht="15.75">
      <c r="A1080" s="7"/>
      <c r="B1080" s="361"/>
      <c r="C1080" s="361"/>
      <c r="D1080" s="197"/>
    </row>
    <row r="1081" spans="1:4" ht="15.75">
      <c r="A1081" s="7"/>
      <c r="B1081" s="361"/>
      <c r="C1081" s="361"/>
      <c r="D1081" s="197"/>
    </row>
    <row r="1082" spans="1:4" ht="15.75">
      <c r="A1082" s="7"/>
      <c r="B1082" s="361"/>
      <c r="C1082" s="361"/>
      <c r="D1082" s="197"/>
    </row>
    <row r="1083" spans="1:4" ht="15.75">
      <c r="A1083" s="7"/>
      <c r="B1083" s="361"/>
      <c r="C1083" s="361"/>
      <c r="D1083" s="197"/>
    </row>
    <row r="1084" spans="1:4" ht="15.75">
      <c r="A1084" s="7"/>
      <c r="B1084" s="361"/>
      <c r="C1084" s="361"/>
      <c r="D1084" s="197"/>
    </row>
    <row r="1085" spans="1:4" ht="15.75">
      <c r="A1085" s="7"/>
      <c r="B1085" s="361"/>
      <c r="C1085" s="361"/>
      <c r="D1085" s="197"/>
    </row>
    <row r="1086" spans="1:4" ht="15.75">
      <c r="A1086" s="7"/>
      <c r="B1086" s="361"/>
      <c r="C1086" s="361"/>
      <c r="D1086" s="197"/>
    </row>
    <row r="1087" spans="1:4" ht="15.75">
      <c r="A1087" s="7"/>
      <c r="B1087" s="361"/>
      <c r="C1087" s="361"/>
      <c r="D1087" s="197"/>
    </row>
    <row r="1088" spans="1:4" ht="15.75">
      <c r="A1088" s="7"/>
      <c r="B1088" s="361"/>
      <c r="C1088" s="361"/>
      <c r="D1088" s="197"/>
    </row>
    <row r="1089" spans="1:4" ht="15.75">
      <c r="A1089" s="7"/>
      <c r="B1089" s="361"/>
      <c r="C1089" s="361"/>
      <c r="D1089" s="197"/>
    </row>
    <row r="1090" spans="1:4" ht="15.75">
      <c r="A1090" s="7"/>
      <c r="B1090" s="361"/>
      <c r="C1090" s="361"/>
      <c r="D1090" s="197"/>
    </row>
    <row r="1091" spans="1:4" ht="15.75">
      <c r="A1091" s="7"/>
      <c r="B1091" s="361"/>
      <c r="C1091" s="361"/>
      <c r="D1091" s="197"/>
    </row>
    <row r="1092" spans="1:4" ht="15.75">
      <c r="A1092" s="7"/>
      <c r="B1092" s="361"/>
      <c r="C1092" s="361"/>
      <c r="D1092" s="197"/>
    </row>
    <row r="1093" spans="1:4" ht="15.75">
      <c r="A1093" s="7"/>
      <c r="B1093" s="361"/>
      <c r="C1093" s="361"/>
      <c r="D1093" s="197"/>
    </row>
    <row r="1094" spans="1:4" ht="15.75">
      <c r="A1094" s="7"/>
      <c r="B1094" s="361"/>
      <c r="C1094" s="361"/>
      <c r="D1094" s="197"/>
    </row>
    <row r="1095" spans="1:4" ht="15.75">
      <c r="A1095" s="7"/>
      <c r="B1095" s="361"/>
      <c r="C1095" s="361"/>
      <c r="D1095" s="197"/>
    </row>
    <row r="1096" spans="1:4" ht="15.75">
      <c r="A1096" s="7"/>
      <c r="B1096" s="361"/>
      <c r="C1096" s="361"/>
      <c r="D1096" s="197"/>
    </row>
    <row r="1097" spans="1:4" ht="15.75">
      <c r="A1097" s="7"/>
      <c r="B1097" s="361"/>
      <c r="C1097" s="361"/>
      <c r="D1097" s="197"/>
    </row>
    <row r="1098" spans="1:4" ht="15.75">
      <c r="A1098" s="7"/>
      <c r="B1098" s="361"/>
      <c r="C1098" s="361"/>
      <c r="D1098" s="197"/>
    </row>
    <row r="1099" spans="1:4" ht="15.75">
      <c r="A1099" s="7"/>
      <c r="B1099" s="361"/>
      <c r="C1099" s="361"/>
      <c r="D1099" s="197"/>
    </row>
    <row r="1100" spans="1:4" ht="15.75">
      <c r="A1100" s="7"/>
      <c r="B1100" s="361"/>
      <c r="C1100" s="361"/>
      <c r="D1100" s="197"/>
    </row>
    <row r="1101" spans="1:4" ht="15.75">
      <c r="A1101" s="7"/>
      <c r="B1101" s="361"/>
      <c r="C1101" s="361"/>
      <c r="D1101" s="197"/>
    </row>
    <row r="1102" spans="1:4" ht="15.75">
      <c r="A1102" s="7"/>
      <c r="B1102" s="361"/>
      <c r="C1102" s="361"/>
      <c r="D1102" s="197"/>
    </row>
    <row r="1103" spans="1:4" ht="15.75">
      <c r="A1103" s="7"/>
      <c r="B1103" s="361"/>
      <c r="C1103" s="361"/>
      <c r="D1103" s="197"/>
    </row>
    <row r="1104" spans="1:4" ht="15.75">
      <c r="A1104" s="7"/>
      <c r="B1104" s="361"/>
      <c r="C1104" s="361"/>
      <c r="D1104" s="197"/>
    </row>
    <row r="1105" spans="1:4" ht="15.75">
      <c r="A1105" s="7"/>
      <c r="B1105" s="361"/>
      <c r="C1105" s="361"/>
      <c r="D1105" s="197"/>
    </row>
    <row r="1106" spans="1:4" ht="15.75">
      <c r="A1106" s="7"/>
      <c r="B1106" s="361"/>
      <c r="C1106" s="361"/>
      <c r="D1106" s="197"/>
    </row>
    <row r="1107" spans="1:4" ht="15.75">
      <c r="A1107" s="7"/>
      <c r="B1107" s="361"/>
      <c r="C1107" s="361"/>
      <c r="D1107" s="197"/>
    </row>
    <row r="1108" spans="1:4" ht="15.75">
      <c r="A1108" s="7"/>
      <c r="B1108" s="361"/>
      <c r="C1108" s="361"/>
      <c r="D1108" s="197"/>
    </row>
    <row r="1109" spans="1:4" ht="15.75">
      <c r="A1109" s="7"/>
      <c r="B1109" s="361"/>
      <c r="C1109" s="361"/>
      <c r="D1109" s="197"/>
    </row>
    <row r="1110" spans="1:4" ht="15.75">
      <c r="A1110" s="7"/>
      <c r="B1110" s="361"/>
      <c r="C1110" s="361"/>
      <c r="D1110" s="197"/>
    </row>
  </sheetData>
  <sheetProtection/>
  <autoFilter ref="A14:D752"/>
  <mergeCells count="11">
    <mergeCell ref="B7:D7"/>
    <mergeCell ref="B8:D8"/>
    <mergeCell ref="B9:D9"/>
    <mergeCell ref="B10:D10"/>
    <mergeCell ref="B11:D11"/>
    <mergeCell ref="A12:D12"/>
    <mergeCell ref="B1:D1"/>
    <mergeCell ref="B2:D2"/>
    <mergeCell ref="B3:D3"/>
    <mergeCell ref="B4:D4"/>
    <mergeCell ref="B5:D5"/>
  </mergeCells>
  <printOptions/>
  <pageMargins left="1.1811023622047245" right="0.5905511811023623" top="0.7874015748031497" bottom="0.7874015748031497" header="0" footer="0"/>
  <pageSetup fitToHeight="13" fitToWidth="1" horizontalDpi="600" verticalDpi="600" orientation="portrait" paperSize="9" scale="64" r:id="rId1"/>
  <rowBreaks count="1" manualBreakCount="1">
    <brk id="69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1113"/>
  <sheetViews>
    <sheetView view="pageBreakPreview" zoomScaleSheetLayoutView="100" zoomScalePageLayoutView="0" workbookViewId="0" topLeftCell="A1">
      <pane ySplit="4" topLeftCell="A748" activePane="bottomLeft" state="frozen"/>
      <selection pane="topLeft" activeCell="A1" sqref="A1"/>
      <selection pane="bottomLeft" activeCell="N758" sqref="N758"/>
    </sheetView>
  </sheetViews>
  <sheetFormatPr defaultColWidth="9.00390625" defaultRowHeight="12.75"/>
  <cols>
    <col min="1" max="1" width="81.75390625" style="362" customWidth="1"/>
    <col min="2" max="2" width="14.75390625" style="363" customWidth="1"/>
    <col min="3" max="3" width="5.375" style="363" customWidth="1"/>
    <col min="4" max="4" width="15.00390625" style="198" customWidth="1"/>
    <col min="5" max="6" width="10.125" style="34" hidden="1" customWidth="1"/>
    <col min="7" max="7" width="0" style="34" hidden="1" customWidth="1"/>
    <col min="8" max="9" width="13.875" style="198" customWidth="1"/>
    <col min="10" max="10" width="0" style="34" hidden="1" customWidth="1"/>
    <col min="11" max="11" width="9.125" style="34" customWidth="1"/>
    <col min="12" max="16384" width="9.125" style="5" customWidth="1"/>
  </cols>
  <sheetData>
    <row r="1" spans="1:11" s="13" customFormat="1" ht="12.75" customHeight="1">
      <c r="A1" s="398" t="s">
        <v>699</v>
      </c>
      <c r="B1" s="392"/>
      <c r="C1" s="392"/>
      <c r="D1" s="392"/>
      <c r="E1" s="392"/>
      <c r="F1" s="392"/>
      <c r="G1" s="392"/>
      <c r="H1" s="392"/>
      <c r="I1" s="392"/>
      <c r="J1" s="31"/>
      <c r="K1" s="31"/>
    </row>
    <row r="2" spans="1:9" s="34" customFormat="1" ht="37.5" customHeight="1">
      <c r="A2" s="396" t="s">
        <v>432</v>
      </c>
      <c r="B2" s="396"/>
      <c r="C2" s="396"/>
      <c r="D2" s="396"/>
      <c r="E2" s="393"/>
      <c r="F2" s="393"/>
      <c r="G2" s="393"/>
      <c r="H2" s="393"/>
      <c r="I2" s="393"/>
    </row>
    <row r="3" spans="1:9" s="31" customFormat="1" ht="63">
      <c r="A3" s="41" t="s">
        <v>146</v>
      </c>
      <c r="B3" s="41" t="s">
        <v>145</v>
      </c>
      <c r="C3" s="41" t="s">
        <v>150</v>
      </c>
      <c r="D3" s="26" t="s">
        <v>675</v>
      </c>
      <c r="E3" s="26" t="s">
        <v>676</v>
      </c>
      <c r="F3" s="26" t="s">
        <v>677</v>
      </c>
      <c r="G3" s="26" t="s">
        <v>675</v>
      </c>
      <c r="H3" s="26" t="s">
        <v>676</v>
      </c>
      <c r="I3" s="26" t="s">
        <v>677</v>
      </c>
    </row>
    <row r="4" spans="1:9" s="39" customFormat="1" ht="15.75">
      <c r="A4" s="42">
        <v>1</v>
      </c>
      <c r="B4" s="43" t="s">
        <v>229</v>
      </c>
      <c r="C4" s="43" t="s">
        <v>230</v>
      </c>
      <c r="D4" s="176" t="s">
        <v>135</v>
      </c>
      <c r="H4" s="176" t="s">
        <v>678</v>
      </c>
      <c r="I4" s="176" t="s">
        <v>679</v>
      </c>
    </row>
    <row r="5" spans="1:11" s="1" customFormat="1" ht="25.5">
      <c r="A5" s="109" t="s">
        <v>582</v>
      </c>
      <c r="B5" s="127" t="s">
        <v>43</v>
      </c>
      <c r="C5" s="127"/>
      <c r="D5" s="177">
        <f>D6+D9+D12+D15</f>
        <v>9219.2</v>
      </c>
      <c r="E5" s="316"/>
      <c r="F5" s="316"/>
      <c r="G5" s="316"/>
      <c r="H5" s="177">
        <f>H6+H9+H12+H15</f>
        <v>9219.2</v>
      </c>
      <c r="I5" s="177">
        <f>I6+I9+I12+I15</f>
        <v>0</v>
      </c>
      <c r="J5" s="351">
        <f>D5-H5</f>
        <v>0</v>
      </c>
      <c r="K5" s="316"/>
    </row>
    <row r="6" spans="1:11" s="1" customFormat="1" ht="12.75">
      <c r="A6" s="50" t="s">
        <v>115</v>
      </c>
      <c r="B6" s="117" t="s">
        <v>44</v>
      </c>
      <c r="C6" s="117"/>
      <c r="D6" s="178">
        <f>D7</f>
        <v>1140</v>
      </c>
      <c r="E6" s="316"/>
      <c r="F6" s="316"/>
      <c r="G6" s="316"/>
      <c r="H6" s="178">
        <f>H7</f>
        <v>1140</v>
      </c>
      <c r="I6" s="178">
        <f>I7</f>
        <v>0</v>
      </c>
      <c r="J6" s="351">
        <f aca="true" t="shared" si="0" ref="J6:J69">D6-H6</f>
        <v>0</v>
      </c>
      <c r="K6" s="316"/>
    </row>
    <row r="7" spans="1:11" s="1" customFormat="1" ht="12.75">
      <c r="A7" s="60" t="s">
        <v>226</v>
      </c>
      <c r="B7" s="117" t="s">
        <v>44</v>
      </c>
      <c r="C7" s="117" t="s">
        <v>188</v>
      </c>
      <c r="D7" s="178">
        <f>SUM(D8)</f>
        <v>1140</v>
      </c>
      <c r="E7" s="316"/>
      <c r="F7" s="316"/>
      <c r="G7" s="316"/>
      <c r="H7" s="178">
        <f>SUM(H8)</f>
        <v>1140</v>
      </c>
      <c r="I7" s="178">
        <f>SUM(I8)</f>
        <v>0</v>
      </c>
      <c r="J7" s="351">
        <f t="shared" si="0"/>
        <v>0</v>
      </c>
      <c r="K7" s="316"/>
    </row>
    <row r="8" spans="1:11" s="1" customFormat="1" ht="12.75">
      <c r="A8" s="60" t="s">
        <v>189</v>
      </c>
      <c r="B8" s="117" t="s">
        <v>44</v>
      </c>
      <c r="C8" s="117" t="s">
        <v>187</v>
      </c>
      <c r="D8" s="178">
        <v>1140</v>
      </c>
      <c r="E8" s="316"/>
      <c r="F8" s="316"/>
      <c r="G8" s="316"/>
      <c r="H8" s="178">
        <v>1140</v>
      </c>
      <c r="I8" s="178">
        <f>D8-H8</f>
        <v>0</v>
      </c>
      <c r="J8" s="351">
        <f t="shared" si="0"/>
        <v>0</v>
      </c>
      <c r="K8" s="316"/>
    </row>
    <row r="9" spans="1:11" s="1" customFormat="1" ht="12.75">
      <c r="A9" s="46" t="s">
        <v>117</v>
      </c>
      <c r="B9" s="122" t="s">
        <v>45</v>
      </c>
      <c r="C9" s="117"/>
      <c r="D9" s="178">
        <f>D10</f>
        <v>35.5</v>
      </c>
      <c r="E9" s="316"/>
      <c r="F9" s="316"/>
      <c r="G9" s="316"/>
      <c r="H9" s="178">
        <f>H10</f>
        <v>35.5</v>
      </c>
      <c r="I9" s="178">
        <f>I10</f>
        <v>0</v>
      </c>
      <c r="J9" s="351">
        <f t="shared" si="0"/>
        <v>0</v>
      </c>
      <c r="K9" s="316"/>
    </row>
    <row r="10" spans="1:11" s="1" customFormat="1" ht="12.75">
      <c r="A10" s="60" t="s">
        <v>226</v>
      </c>
      <c r="B10" s="122" t="s">
        <v>45</v>
      </c>
      <c r="C10" s="117" t="s">
        <v>188</v>
      </c>
      <c r="D10" s="178">
        <f>D11</f>
        <v>35.5</v>
      </c>
      <c r="E10" s="316"/>
      <c r="F10" s="316"/>
      <c r="G10" s="316"/>
      <c r="H10" s="178">
        <f>H11</f>
        <v>35.5</v>
      </c>
      <c r="I10" s="178">
        <f>I11</f>
        <v>0</v>
      </c>
      <c r="J10" s="351">
        <f t="shared" si="0"/>
        <v>0</v>
      </c>
      <c r="K10" s="316"/>
    </row>
    <row r="11" spans="1:11" s="1" customFormat="1" ht="12.75">
      <c r="A11" s="60" t="s">
        <v>189</v>
      </c>
      <c r="B11" s="122" t="s">
        <v>45</v>
      </c>
      <c r="C11" s="117" t="s">
        <v>187</v>
      </c>
      <c r="D11" s="178">
        <v>35.5</v>
      </c>
      <c r="E11" s="316"/>
      <c r="F11" s="316"/>
      <c r="G11" s="316"/>
      <c r="H11" s="178">
        <v>35.5</v>
      </c>
      <c r="I11" s="178">
        <f>D11-H11</f>
        <v>0</v>
      </c>
      <c r="J11" s="351">
        <f t="shared" si="0"/>
        <v>0</v>
      </c>
      <c r="K11" s="316"/>
    </row>
    <row r="12" spans="1:11" s="1" customFormat="1" ht="38.25">
      <c r="A12" s="64" t="s">
        <v>476</v>
      </c>
      <c r="B12" s="114" t="s">
        <v>475</v>
      </c>
      <c r="C12" s="117"/>
      <c r="D12" s="179">
        <f>D13</f>
        <v>2167.7</v>
      </c>
      <c r="E12" s="316"/>
      <c r="F12" s="316"/>
      <c r="G12" s="316"/>
      <c r="H12" s="179">
        <f>H13</f>
        <v>2167.7</v>
      </c>
      <c r="I12" s="179">
        <f>I13</f>
        <v>0</v>
      </c>
      <c r="J12" s="351">
        <f t="shared" si="0"/>
        <v>0</v>
      </c>
      <c r="K12" s="316"/>
    </row>
    <row r="13" spans="1:11" s="1" customFormat="1" ht="12.75">
      <c r="A13" s="64" t="s">
        <v>89</v>
      </c>
      <c r="B13" s="114"/>
      <c r="C13" s="117" t="s">
        <v>85</v>
      </c>
      <c r="D13" s="179">
        <f>D14</f>
        <v>2167.7</v>
      </c>
      <c r="E13" s="316"/>
      <c r="F13" s="316"/>
      <c r="G13" s="316"/>
      <c r="H13" s="179">
        <f>H14</f>
        <v>2167.7</v>
      </c>
      <c r="I13" s="179">
        <f>I14</f>
        <v>0</v>
      </c>
      <c r="J13" s="351">
        <f t="shared" si="0"/>
        <v>0</v>
      </c>
      <c r="K13" s="316"/>
    </row>
    <row r="14" spans="1:11" s="1" customFormat="1" ht="12.75">
      <c r="A14" s="64" t="s">
        <v>84</v>
      </c>
      <c r="B14" s="114" t="s">
        <v>475</v>
      </c>
      <c r="C14" s="117" t="s">
        <v>86</v>
      </c>
      <c r="D14" s="179">
        <v>2167.7</v>
      </c>
      <c r="E14" s="316"/>
      <c r="F14" s="316"/>
      <c r="G14" s="316"/>
      <c r="H14" s="179">
        <v>2167.7</v>
      </c>
      <c r="I14" s="178">
        <f>D14-H14</f>
        <v>0</v>
      </c>
      <c r="J14" s="351">
        <f t="shared" si="0"/>
        <v>0</v>
      </c>
      <c r="K14" s="316"/>
    </row>
    <row r="15" spans="1:11" s="1" customFormat="1" ht="38.25">
      <c r="A15" s="64" t="s">
        <v>478</v>
      </c>
      <c r="B15" s="114" t="s">
        <v>477</v>
      </c>
      <c r="C15" s="117"/>
      <c r="D15" s="179">
        <f>D16</f>
        <v>5876</v>
      </c>
      <c r="E15" s="316"/>
      <c r="F15" s="316"/>
      <c r="G15" s="316"/>
      <c r="H15" s="179">
        <f>H16</f>
        <v>5876</v>
      </c>
      <c r="I15" s="179">
        <f>I16</f>
        <v>0</v>
      </c>
      <c r="J15" s="351">
        <f t="shared" si="0"/>
        <v>0</v>
      </c>
      <c r="K15" s="316"/>
    </row>
    <row r="16" spans="1:11" s="1" customFormat="1" ht="12.75">
      <c r="A16" s="138" t="s">
        <v>89</v>
      </c>
      <c r="B16" s="114" t="s">
        <v>477</v>
      </c>
      <c r="C16" s="117" t="s">
        <v>85</v>
      </c>
      <c r="D16" s="180">
        <f>D17</f>
        <v>5876</v>
      </c>
      <c r="E16" s="316"/>
      <c r="F16" s="316"/>
      <c r="G16" s="316"/>
      <c r="H16" s="180">
        <f>H17</f>
        <v>5876</v>
      </c>
      <c r="I16" s="180">
        <f>I17</f>
        <v>0</v>
      </c>
      <c r="J16" s="351">
        <f t="shared" si="0"/>
        <v>0</v>
      </c>
      <c r="K16" s="316"/>
    </row>
    <row r="17" spans="1:11" s="1" customFormat="1" ht="12.75">
      <c r="A17" s="50" t="s">
        <v>84</v>
      </c>
      <c r="B17" s="114" t="s">
        <v>477</v>
      </c>
      <c r="C17" s="117" t="s">
        <v>86</v>
      </c>
      <c r="D17" s="178">
        <f>5347.2+146.1+382.7</f>
        <v>5876</v>
      </c>
      <c r="E17" s="316"/>
      <c r="F17" s="316"/>
      <c r="G17" s="316"/>
      <c r="H17" s="178">
        <f>5347.2+146.1+382.7</f>
        <v>5876</v>
      </c>
      <c r="I17" s="178">
        <f>D17-H17</f>
        <v>0</v>
      </c>
      <c r="J17" s="351">
        <f t="shared" si="0"/>
        <v>0</v>
      </c>
      <c r="K17" s="316"/>
    </row>
    <row r="18" spans="1:11" s="1" customFormat="1" ht="25.5">
      <c r="A18" s="125" t="s">
        <v>545</v>
      </c>
      <c r="B18" s="144" t="s">
        <v>11</v>
      </c>
      <c r="C18" s="144"/>
      <c r="D18" s="181">
        <f>D19+D65+D135+D173</f>
        <v>776771.737</v>
      </c>
      <c r="E18" s="349"/>
      <c r="F18" s="350"/>
      <c r="G18" s="316"/>
      <c r="H18" s="181">
        <f>H19+H65+H135+H173</f>
        <v>775760.47</v>
      </c>
      <c r="I18" s="181">
        <f>I19+I65+I135+I173</f>
        <v>1011.267000000001</v>
      </c>
      <c r="J18" s="351">
        <f t="shared" si="0"/>
        <v>1011.2669999999925</v>
      </c>
      <c r="K18" s="316"/>
    </row>
    <row r="19" spans="1:10" ht="26.25">
      <c r="A19" s="59" t="s">
        <v>544</v>
      </c>
      <c r="B19" s="145" t="s">
        <v>12</v>
      </c>
      <c r="C19" s="145"/>
      <c r="D19" s="182">
        <f>D20+D23+D26+D29+D32+D35+D38+D41+D47+D50+D53+D56+D59+D62+D44</f>
        <v>265467.38999999996</v>
      </c>
      <c r="E19" s="182">
        <f>E20+E23+E26+E29+E32+E35+E38+E41+E47+E50+E53+E56+E59+E62</f>
        <v>0</v>
      </c>
      <c r="F19" s="182">
        <f>F20+F23+F26+F29+F32+F35+F38+F41+F47+F50+F53+F56+F59+F62</f>
        <v>0</v>
      </c>
      <c r="G19" s="182">
        <f>G20+G23+G26+G29+G32+G35+G38+G41+G47+G50+G53+G56+G59+G62</f>
        <v>0</v>
      </c>
      <c r="H19" s="182">
        <f>H20+H23+H26+H29+H32+H35+H38+H41+H47+H50+H53+H56+H59+H62</f>
        <v>264456.1</v>
      </c>
      <c r="I19" s="371">
        <f>I20+I23+I26+I29+I32+I35+I38+I41+I47+I50+I53+I56+I59+I62+I44</f>
        <v>1011.2899999999998</v>
      </c>
      <c r="J19" s="351">
        <f t="shared" si="0"/>
        <v>1011.289999999979</v>
      </c>
    </row>
    <row r="20" spans="1:10" ht="15.75">
      <c r="A20" s="143" t="s">
        <v>104</v>
      </c>
      <c r="B20" s="115" t="s">
        <v>27</v>
      </c>
      <c r="C20" s="115"/>
      <c r="D20" s="183">
        <f>D21</f>
        <v>105779.1</v>
      </c>
      <c r="F20" s="333"/>
      <c r="H20" s="183">
        <f>H21</f>
        <v>105779.1</v>
      </c>
      <c r="I20" s="183">
        <f>I21</f>
        <v>0</v>
      </c>
      <c r="J20" s="351">
        <f t="shared" si="0"/>
        <v>0</v>
      </c>
    </row>
    <row r="21" spans="1:10" ht="26.25">
      <c r="A21" s="79" t="s">
        <v>190</v>
      </c>
      <c r="B21" s="115" t="s">
        <v>27</v>
      </c>
      <c r="C21" s="115" t="s">
        <v>178</v>
      </c>
      <c r="D21" s="183">
        <f>D22</f>
        <v>105779.1</v>
      </c>
      <c r="H21" s="183">
        <f>H22</f>
        <v>105779.1</v>
      </c>
      <c r="I21" s="183">
        <f>I22</f>
        <v>0</v>
      </c>
      <c r="J21" s="351">
        <f t="shared" si="0"/>
        <v>0</v>
      </c>
    </row>
    <row r="22" spans="1:10" ht="15.75">
      <c r="A22" s="83" t="s">
        <v>191</v>
      </c>
      <c r="B22" s="115" t="s">
        <v>27</v>
      </c>
      <c r="C22" s="115" t="s">
        <v>192</v>
      </c>
      <c r="D22" s="183">
        <v>105779.1</v>
      </c>
      <c r="F22" s="333">
        <f>D22+D66+D136+D139</f>
        <v>283833.4</v>
      </c>
      <c r="H22" s="183">
        <v>105779.1</v>
      </c>
      <c r="I22" s="178">
        <f>D22-H22</f>
        <v>0</v>
      </c>
      <c r="J22" s="351">
        <f t="shared" si="0"/>
        <v>0</v>
      </c>
    </row>
    <row r="23" spans="1:10" ht="15.75">
      <c r="A23" s="84" t="s">
        <v>216</v>
      </c>
      <c r="B23" s="115" t="s">
        <v>217</v>
      </c>
      <c r="C23" s="115"/>
      <c r="D23" s="183">
        <f>D24</f>
        <v>620</v>
      </c>
      <c r="H23" s="183">
        <f>H24</f>
        <v>620</v>
      </c>
      <c r="I23" s="183">
        <f>I24</f>
        <v>0</v>
      </c>
      <c r="J23" s="351">
        <f t="shared" si="0"/>
        <v>0</v>
      </c>
    </row>
    <row r="24" spans="1:10" ht="26.25">
      <c r="A24" s="79" t="s">
        <v>190</v>
      </c>
      <c r="B24" s="115" t="s">
        <v>217</v>
      </c>
      <c r="C24" s="115" t="s">
        <v>178</v>
      </c>
      <c r="D24" s="183">
        <f>D25</f>
        <v>620</v>
      </c>
      <c r="H24" s="183">
        <f>H25</f>
        <v>620</v>
      </c>
      <c r="I24" s="183">
        <f>I25</f>
        <v>0</v>
      </c>
      <c r="J24" s="351">
        <f t="shared" si="0"/>
        <v>0</v>
      </c>
    </row>
    <row r="25" spans="1:11" s="4" customFormat="1" ht="12.75">
      <c r="A25" s="83" t="s">
        <v>191</v>
      </c>
      <c r="B25" s="115" t="s">
        <v>217</v>
      </c>
      <c r="C25" s="115" t="s">
        <v>192</v>
      </c>
      <c r="D25" s="183">
        <v>620</v>
      </c>
      <c r="E25" s="317"/>
      <c r="F25" s="317"/>
      <c r="G25" s="317"/>
      <c r="H25" s="183">
        <v>620</v>
      </c>
      <c r="I25" s="178">
        <f>D25-H25</f>
        <v>0</v>
      </c>
      <c r="J25" s="351">
        <f t="shared" si="0"/>
        <v>0</v>
      </c>
      <c r="K25" s="317"/>
    </row>
    <row r="26" spans="1:11" s="4" customFormat="1" ht="12.75">
      <c r="A26" s="83" t="s">
        <v>7</v>
      </c>
      <c r="B26" s="115" t="s">
        <v>584</v>
      </c>
      <c r="C26" s="115"/>
      <c r="D26" s="183">
        <f>D27</f>
        <v>300</v>
      </c>
      <c r="E26" s="317"/>
      <c r="F26" s="317"/>
      <c r="G26" s="317"/>
      <c r="H26" s="183">
        <f>H27</f>
        <v>300</v>
      </c>
      <c r="I26" s="183">
        <f>I27</f>
        <v>0</v>
      </c>
      <c r="J26" s="351">
        <f t="shared" si="0"/>
        <v>0</v>
      </c>
      <c r="K26" s="317"/>
    </row>
    <row r="27" spans="1:11" s="4" customFormat="1" ht="25.5">
      <c r="A27" s="79" t="s">
        <v>190</v>
      </c>
      <c r="B27" s="117" t="s">
        <v>584</v>
      </c>
      <c r="C27" s="115" t="s">
        <v>178</v>
      </c>
      <c r="D27" s="183">
        <f>D28</f>
        <v>300</v>
      </c>
      <c r="E27" s="317"/>
      <c r="F27" s="317"/>
      <c r="G27" s="317"/>
      <c r="H27" s="183">
        <f>H28</f>
        <v>300</v>
      </c>
      <c r="I27" s="183">
        <f>I28</f>
        <v>0</v>
      </c>
      <c r="J27" s="351">
        <f t="shared" si="0"/>
        <v>0</v>
      </c>
      <c r="K27" s="317"/>
    </row>
    <row r="28" spans="1:11" s="4" customFormat="1" ht="12.75">
      <c r="A28" s="83" t="s">
        <v>191</v>
      </c>
      <c r="B28" s="117" t="s">
        <v>584</v>
      </c>
      <c r="C28" s="115" t="s">
        <v>192</v>
      </c>
      <c r="D28" s="183">
        <v>300</v>
      </c>
      <c r="E28" s="317"/>
      <c r="F28" s="317"/>
      <c r="G28" s="317"/>
      <c r="H28" s="183">
        <v>300</v>
      </c>
      <c r="I28" s="178">
        <f>D28-H28</f>
        <v>0</v>
      </c>
      <c r="J28" s="351">
        <f t="shared" si="0"/>
        <v>0</v>
      </c>
      <c r="K28" s="317"/>
    </row>
    <row r="29" spans="1:11" s="4" customFormat="1" ht="12.75">
      <c r="A29" s="84" t="s">
        <v>266</v>
      </c>
      <c r="B29" s="115" t="s">
        <v>25</v>
      </c>
      <c r="C29" s="115"/>
      <c r="D29" s="183">
        <f>D30</f>
        <v>600</v>
      </c>
      <c r="E29" s="317"/>
      <c r="F29" s="317"/>
      <c r="G29" s="317"/>
      <c r="H29" s="183">
        <f>H30</f>
        <v>600</v>
      </c>
      <c r="I29" s="183">
        <f>I30</f>
        <v>0</v>
      </c>
      <c r="J29" s="351">
        <f t="shared" si="0"/>
        <v>0</v>
      </c>
      <c r="K29" s="317"/>
    </row>
    <row r="30" spans="1:11" s="4" customFormat="1" ht="25.5">
      <c r="A30" s="79" t="s">
        <v>190</v>
      </c>
      <c r="B30" s="115" t="s">
        <v>25</v>
      </c>
      <c r="C30" s="115" t="s">
        <v>178</v>
      </c>
      <c r="D30" s="183">
        <f>D31</f>
        <v>600</v>
      </c>
      <c r="E30" s="317"/>
      <c r="F30" s="317"/>
      <c r="G30" s="317"/>
      <c r="H30" s="183">
        <f>H31</f>
        <v>600</v>
      </c>
      <c r="I30" s="183">
        <f>I31</f>
        <v>0</v>
      </c>
      <c r="J30" s="351">
        <f t="shared" si="0"/>
        <v>0</v>
      </c>
      <c r="K30" s="317"/>
    </row>
    <row r="31" spans="1:11" s="4" customFormat="1" ht="12.75">
      <c r="A31" s="83" t="s">
        <v>191</v>
      </c>
      <c r="B31" s="115" t="s">
        <v>25</v>
      </c>
      <c r="C31" s="115" t="s">
        <v>192</v>
      </c>
      <c r="D31" s="183">
        <v>600</v>
      </c>
      <c r="E31" s="317"/>
      <c r="F31" s="317"/>
      <c r="G31" s="317"/>
      <c r="H31" s="183">
        <v>600</v>
      </c>
      <c r="I31" s="178">
        <f>D31-H31</f>
        <v>0</v>
      </c>
      <c r="J31" s="351">
        <f t="shared" si="0"/>
        <v>0</v>
      </c>
      <c r="K31" s="317"/>
    </row>
    <row r="32" spans="1:11" s="4" customFormat="1" ht="25.5">
      <c r="A32" s="84" t="s">
        <v>267</v>
      </c>
      <c r="B32" s="115" t="s">
        <v>26</v>
      </c>
      <c r="C32" s="115"/>
      <c r="D32" s="183">
        <f>D33</f>
        <v>100</v>
      </c>
      <c r="E32" s="317"/>
      <c r="F32" s="317"/>
      <c r="G32" s="317"/>
      <c r="H32" s="183">
        <f>H33</f>
        <v>100</v>
      </c>
      <c r="I32" s="183">
        <f>I33</f>
        <v>0</v>
      </c>
      <c r="J32" s="351">
        <f t="shared" si="0"/>
        <v>0</v>
      </c>
      <c r="K32" s="317"/>
    </row>
    <row r="33" spans="1:10" ht="26.25">
      <c r="A33" s="79" t="s">
        <v>190</v>
      </c>
      <c r="B33" s="115" t="s">
        <v>26</v>
      </c>
      <c r="C33" s="115" t="s">
        <v>178</v>
      </c>
      <c r="D33" s="183">
        <f>D34</f>
        <v>100</v>
      </c>
      <c r="H33" s="183">
        <f>H34</f>
        <v>100</v>
      </c>
      <c r="I33" s="183">
        <f>I34</f>
        <v>0</v>
      </c>
      <c r="J33" s="351">
        <f t="shared" si="0"/>
        <v>0</v>
      </c>
    </row>
    <row r="34" spans="1:10" ht="15.75">
      <c r="A34" s="83" t="s">
        <v>191</v>
      </c>
      <c r="B34" s="115" t="s">
        <v>26</v>
      </c>
      <c r="C34" s="115" t="s">
        <v>192</v>
      </c>
      <c r="D34" s="183">
        <v>100</v>
      </c>
      <c r="H34" s="183">
        <v>100</v>
      </c>
      <c r="I34" s="178">
        <f>D34-H34</f>
        <v>0</v>
      </c>
      <c r="J34" s="351">
        <f t="shared" si="0"/>
        <v>0</v>
      </c>
    </row>
    <row r="35" spans="1:10" ht="15.75">
      <c r="A35" s="84" t="s">
        <v>268</v>
      </c>
      <c r="B35" s="115" t="s">
        <v>425</v>
      </c>
      <c r="C35" s="115"/>
      <c r="D35" s="183">
        <f>D36</f>
        <v>870.6</v>
      </c>
      <c r="H35" s="183">
        <f>H36</f>
        <v>870.6</v>
      </c>
      <c r="I35" s="183">
        <f>I36</f>
        <v>0</v>
      </c>
      <c r="J35" s="351">
        <f t="shared" si="0"/>
        <v>0</v>
      </c>
    </row>
    <row r="36" spans="1:10" ht="26.25">
      <c r="A36" s="79" t="s">
        <v>190</v>
      </c>
      <c r="B36" s="115" t="s">
        <v>425</v>
      </c>
      <c r="C36" s="115" t="s">
        <v>178</v>
      </c>
      <c r="D36" s="183">
        <f>D37</f>
        <v>870.6</v>
      </c>
      <c r="H36" s="183">
        <f>H37</f>
        <v>870.6</v>
      </c>
      <c r="I36" s="183">
        <f>I37</f>
        <v>0</v>
      </c>
      <c r="J36" s="351">
        <f t="shared" si="0"/>
        <v>0</v>
      </c>
    </row>
    <row r="37" spans="1:10" ht="15.75">
      <c r="A37" s="83" t="s">
        <v>191</v>
      </c>
      <c r="B37" s="115" t="s">
        <v>425</v>
      </c>
      <c r="C37" s="115" t="s">
        <v>192</v>
      </c>
      <c r="D37" s="183">
        <v>870.6</v>
      </c>
      <c r="H37" s="183">
        <v>870.6</v>
      </c>
      <c r="I37" s="178">
        <f>D37-H37</f>
        <v>0</v>
      </c>
      <c r="J37" s="351">
        <f t="shared" si="0"/>
        <v>0</v>
      </c>
    </row>
    <row r="38" spans="1:10" ht="15.75">
      <c r="A38" s="84" t="s">
        <v>335</v>
      </c>
      <c r="B38" s="115" t="s">
        <v>426</v>
      </c>
      <c r="C38" s="115"/>
      <c r="D38" s="183">
        <f>D39</f>
        <v>50</v>
      </c>
      <c r="H38" s="183">
        <f>H39</f>
        <v>50</v>
      </c>
      <c r="I38" s="183">
        <f>I39</f>
        <v>0</v>
      </c>
      <c r="J38" s="351">
        <f t="shared" si="0"/>
        <v>0</v>
      </c>
    </row>
    <row r="39" spans="1:10" ht="26.25">
      <c r="A39" s="79" t="s">
        <v>190</v>
      </c>
      <c r="B39" s="115" t="s">
        <v>426</v>
      </c>
      <c r="C39" s="115" t="s">
        <v>178</v>
      </c>
      <c r="D39" s="183">
        <f>D40</f>
        <v>50</v>
      </c>
      <c r="H39" s="183">
        <f>H40</f>
        <v>50</v>
      </c>
      <c r="I39" s="183">
        <f>I40</f>
        <v>0</v>
      </c>
      <c r="J39" s="351">
        <f t="shared" si="0"/>
        <v>0</v>
      </c>
    </row>
    <row r="40" spans="1:10" ht="15.75">
      <c r="A40" s="83" t="s">
        <v>191</v>
      </c>
      <c r="B40" s="115" t="s">
        <v>426</v>
      </c>
      <c r="C40" s="115" t="s">
        <v>192</v>
      </c>
      <c r="D40" s="183">
        <v>50</v>
      </c>
      <c r="H40" s="183">
        <v>50</v>
      </c>
      <c r="I40" s="178">
        <f>D40-H40</f>
        <v>0</v>
      </c>
      <c r="J40" s="351">
        <f t="shared" si="0"/>
        <v>0</v>
      </c>
    </row>
    <row r="41" spans="1:10" ht="191.25">
      <c r="A41" s="84" t="s">
        <v>686</v>
      </c>
      <c r="B41" s="115" t="s">
        <v>687</v>
      </c>
      <c r="C41" s="115"/>
      <c r="D41" s="183">
        <f>D42</f>
        <v>229.77</v>
      </c>
      <c r="H41" s="183">
        <f>H42</f>
        <v>229.8</v>
      </c>
      <c r="I41" s="183">
        <f>I42</f>
        <v>-0.030000000000001137</v>
      </c>
      <c r="J41" s="351">
        <f t="shared" si="0"/>
        <v>-0.030000000000001137</v>
      </c>
    </row>
    <row r="42" spans="1:10" ht="26.25">
      <c r="A42" s="79" t="s">
        <v>190</v>
      </c>
      <c r="B42" s="115" t="s">
        <v>687</v>
      </c>
      <c r="C42" s="115" t="s">
        <v>178</v>
      </c>
      <c r="D42" s="183">
        <f>D43</f>
        <v>229.77</v>
      </c>
      <c r="H42" s="183">
        <f>H43</f>
        <v>229.8</v>
      </c>
      <c r="I42" s="183">
        <f>I43</f>
        <v>-0.030000000000001137</v>
      </c>
      <c r="J42" s="351">
        <f t="shared" si="0"/>
        <v>-0.030000000000001137</v>
      </c>
    </row>
    <row r="43" spans="1:10" ht="15.75">
      <c r="A43" s="327" t="s">
        <v>191</v>
      </c>
      <c r="B43" s="115" t="s">
        <v>687</v>
      </c>
      <c r="C43" s="115" t="s">
        <v>192</v>
      </c>
      <c r="D43" s="183">
        <v>229.77</v>
      </c>
      <c r="H43" s="183">
        <v>229.8</v>
      </c>
      <c r="I43" s="178">
        <f>D43-H43</f>
        <v>-0.030000000000001137</v>
      </c>
      <c r="J43" s="351">
        <f t="shared" si="0"/>
        <v>-0.030000000000001137</v>
      </c>
    </row>
    <row r="44" spans="1:10" ht="15.75">
      <c r="A44" s="84" t="s">
        <v>585</v>
      </c>
      <c r="B44" s="117" t="s">
        <v>705</v>
      </c>
      <c r="C44" s="115"/>
      <c r="D44" s="183">
        <f>D45</f>
        <v>1011.334</v>
      </c>
      <c r="E44" s="317"/>
      <c r="F44" s="317"/>
      <c r="G44" s="317"/>
      <c r="H44" s="183">
        <f>H45</f>
        <v>0</v>
      </c>
      <c r="I44" s="183">
        <f>I45</f>
        <v>1011.334</v>
      </c>
      <c r="J44" s="351">
        <f t="shared" si="0"/>
        <v>1011.334</v>
      </c>
    </row>
    <row r="45" spans="1:10" ht="26.25">
      <c r="A45" s="79" t="s">
        <v>190</v>
      </c>
      <c r="B45" s="117" t="s">
        <v>705</v>
      </c>
      <c r="C45" s="115" t="s">
        <v>178</v>
      </c>
      <c r="D45" s="183">
        <f>D46</f>
        <v>1011.334</v>
      </c>
      <c r="E45" s="317"/>
      <c r="F45" s="317"/>
      <c r="G45" s="317"/>
      <c r="H45" s="183">
        <f>H46</f>
        <v>0</v>
      </c>
      <c r="I45" s="183">
        <f>I46</f>
        <v>1011.334</v>
      </c>
      <c r="J45" s="351">
        <f t="shared" si="0"/>
        <v>1011.334</v>
      </c>
    </row>
    <row r="46" spans="1:10" ht="15.75">
      <c r="A46" s="83" t="s">
        <v>191</v>
      </c>
      <c r="B46" s="117" t="s">
        <v>705</v>
      </c>
      <c r="C46" s="115" t="s">
        <v>192</v>
      </c>
      <c r="D46" s="183">
        <v>1011.334</v>
      </c>
      <c r="E46" s="317"/>
      <c r="F46" s="317"/>
      <c r="G46" s="317"/>
      <c r="H46" s="183">
        <v>0</v>
      </c>
      <c r="I46" s="178">
        <f>D46-H46</f>
        <v>1011.334</v>
      </c>
      <c r="J46" s="351">
        <f t="shared" si="0"/>
        <v>1011.334</v>
      </c>
    </row>
    <row r="47" spans="1:10" ht="51.75">
      <c r="A47" s="85" t="s">
        <v>467</v>
      </c>
      <c r="B47" s="115" t="s">
        <v>244</v>
      </c>
      <c r="C47" s="115"/>
      <c r="D47" s="183">
        <f>D48</f>
        <v>1229.186</v>
      </c>
      <c r="H47" s="183">
        <f>H48</f>
        <v>1229.2</v>
      </c>
      <c r="I47" s="183">
        <f>I48</f>
        <v>-0.014000000000123691</v>
      </c>
      <c r="J47" s="351">
        <f t="shared" si="0"/>
        <v>-0.014000000000123691</v>
      </c>
    </row>
    <row r="48" spans="1:10" ht="26.25">
      <c r="A48" s="79" t="s">
        <v>190</v>
      </c>
      <c r="B48" s="115" t="s">
        <v>244</v>
      </c>
      <c r="C48" s="115" t="s">
        <v>178</v>
      </c>
      <c r="D48" s="183">
        <f>D49</f>
        <v>1229.186</v>
      </c>
      <c r="H48" s="183">
        <f>H49</f>
        <v>1229.2</v>
      </c>
      <c r="I48" s="183">
        <f>I49</f>
        <v>-0.014000000000123691</v>
      </c>
      <c r="J48" s="351">
        <f t="shared" si="0"/>
        <v>-0.014000000000123691</v>
      </c>
    </row>
    <row r="49" spans="1:10" ht="15.75">
      <c r="A49" s="83" t="s">
        <v>191</v>
      </c>
      <c r="B49" s="115" t="s">
        <v>244</v>
      </c>
      <c r="C49" s="115" t="s">
        <v>192</v>
      </c>
      <c r="D49" s="183">
        <v>1229.186</v>
      </c>
      <c r="H49" s="183">
        <f>1373.9-144.7</f>
        <v>1229.2</v>
      </c>
      <c r="I49" s="178">
        <f>D49-H49</f>
        <v>-0.014000000000123691</v>
      </c>
      <c r="J49" s="351">
        <f t="shared" si="0"/>
        <v>-0.014000000000123691</v>
      </c>
    </row>
    <row r="50" spans="1:10" ht="15.75">
      <c r="A50" s="78" t="s">
        <v>272</v>
      </c>
      <c r="B50" s="115" t="s">
        <v>78</v>
      </c>
      <c r="C50" s="115"/>
      <c r="D50" s="178">
        <f>D51</f>
        <v>144906</v>
      </c>
      <c r="H50" s="178">
        <f>H51</f>
        <v>144906</v>
      </c>
      <c r="I50" s="178">
        <f>I51</f>
        <v>0</v>
      </c>
      <c r="J50" s="351">
        <f t="shared" si="0"/>
        <v>0</v>
      </c>
    </row>
    <row r="51" spans="1:10" ht="26.25">
      <c r="A51" s="79" t="s">
        <v>190</v>
      </c>
      <c r="B51" s="115" t="s">
        <v>78</v>
      </c>
      <c r="C51" s="115" t="s">
        <v>178</v>
      </c>
      <c r="D51" s="183">
        <f>D52</f>
        <v>144906</v>
      </c>
      <c r="H51" s="183">
        <f>H52</f>
        <v>144906</v>
      </c>
      <c r="I51" s="183">
        <f>I52</f>
        <v>0</v>
      </c>
      <c r="J51" s="351">
        <f t="shared" si="0"/>
        <v>0</v>
      </c>
    </row>
    <row r="52" spans="1:10" ht="15.75">
      <c r="A52" s="83" t="s">
        <v>191</v>
      </c>
      <c r="B52" s="117" t="s">
        <v>78</v>
      </c>
      <c r="C52" s="117" t="s">
        <v>192</v>
      </c>
      <c r="D52" s="183">
        <v>144906</v>
      </c>
      <c r="H52" s="183">
        <v>144906</v>
      </c>
      <c r="I52" s="178">
        <f>D52-H52</f>
        <v>0</v>
      </c>
      <c r="J52" s="351">
        <f t="shared" si="0"/>
        <v>0</v>
      </c>
    </row>
    <row r="53" spans="1:11" s="4" customFormat="1" ht="25.5">
      <c r="A53" s="83" t="s">
        <v>250</v>
      </c>
      <c r="B53" s="115" t="s">
        <v>79</v>
      </c>
      <c r="C53" s="115"/>
      <c r="D53" s="183">
        <f>D54</f>
        <v>8080.7</v>
      </c>
      <c r="E53" s="317"/>
      <c r="F53" s="317"/>
      <c r="G53" s="317"/>
      <c r="H53" s="183">
        <f>H54</f>
        <v>8080.7</v>
      </c>
      <c r="I53" s="183">
        <f>I54</f>
        <v>0</v>
      </c>
      <c r="J53" s="351">
        <f t="shared" si="0"/>
        <v>0</v>
      </c>
      <c r="K53" s="317"/>
    </row>
    <row r="54" spans="1:11" s="4" customFormat="1" ht="25.5">
      <c r="A54" s="83" t="s">
        <v>190</v>
      </c>
      <c r="B54" s="115" t="s">
        <v>79</v>
      </c>
      <c r="C54" s="115" t="s">
        <v>178</v>
      </c>
      <c r="D54" s="183">
        <f>D55</f>
        <v>8080.7</v>
      </c>
      <c r="E54" s="317"/>
      <c r="F54" s="317"/>
      <c r="G54" s="317"/>
      <c r="H54" s="183">
        <f>H55</f>
        <v>8080.7</v>
      </c>
      <c r="I54" s="183">
        <f>I55</f>
        <v>0</v>
      </c>
      <c r="J54" s="351">
        <f t="shared" si="0"/>
        <v>0</v>
      </c>
      <c r="K54" s="317"/>
    </row>
    <row r="55" spans="1:11" s="4" customFormat="1" ht="12.75">
      <c r="A55" s="83" t="s">
        <v>191</v>
      </c>
      <c r="B55" s="115" t="s">
        <v>79</v>
      </c>
      <c r="C55" s="115" t="s">
        <v>192</v>
      </c>
      <c r="D55" s="183">
        <v>8080.7</v>
      </c>
      <c r="E55" s="317"/>
      <c r="F55" s="317"/>
      <c r="G55" s="317"/>
      <c r="H55" s="183">
        <v>8080.7</v>
      </c>
      <c r="I55" s="178">
        <f>D55-H55</f>
        <v>0</v>
      </c>
      <c r="J55" s="351">
        <f t="shared" si="0"/>
        <v>0</v>
      </c>
      <c r="K55" s="317"/>
    </row>
    <row r="56" spans="1:11" s="4" customFormat="1" ht="12.75">
      <c r="A56" s="84" t="s">
        <v>585</v>
      </c>
      <c r="B56" s="117" t="s">
        <v>586</v>
      </c>
      <c r="C56" s="115"/>
      <c r="D56" s="183">
        <f>D57</f>
        <v>1031.6</v>
      </c>
      <c r="E56" s="317"/>
      <c r="F56" s="317"/>
      <c r="G56" s="317"/>
      <c r="H56" s="183">
        <f>H57</f>
        <v>1031.6</v>
      </c>
      <c r="I56" s="183">
        <f>I57</f>
        <v>0</v>
      </c>
      <c r="J56" s="351">
        <f t="shared" si="0"/>
        <v>0</v>
      </c>
      <c r="K56" s="317"/>
    </row>
    <row r="57" spans="1:11" s="4" customFormat="1" ht="25.5">
      <c r="A57" s="79" t="s">
        <v>190</v>
      </c>
      <c r="B57" s="117" t="s">
        <v>586</v>
      </c>
      <c r="C57" s="115" t="s">
        <v>178</v>
      </c>
      <c r="D57" s="183">
        <f>D58</f>
        <v>1031.6</v>
      </c>
      <c r="E57" s="317"/>
      <c r="F57" s="317"/>
      <c r="G57" s="317"/>
      <c r="H57" s="183">
        <f>H58</f>
        <v>1031.6</v>
      </c>
      <c r="I57" s="183">
        <f>I58</f>
        <v>0</v>
      </c>
      <c r="J57" s="351">
        <f t="shared" si="0"/>
        <v>0</v>
      </c>
      <c r="K57" s="317"/>
    </row>
    <row r="58" spans="1:11" s="4" customFormat="1" ht="12.75">
      <c r="A58" s="83" t="s">
        <v>191</v>
      </c>
      <c r="B58" s="117" t="s">
        <v>586</v>
      </c>
      <c r="C58" s="115" t="s">
        <v>192</v>
      </c>
      <c r="D58" s="183">
        <f>800+231.6</f>
        <v>1031.6</v>
      </c>
      <c r="E58" s="317"/>
      <c r="F58" s="317"/>
      <c r="G58" s="317"/>
      <c r="H58" s="183">
        <f>800+231.6</f>
        <v>1031.6</v>
      </c>
      <c r="I58" s="178">
        <f>D58-H58</f>
        <v>0</v>
      </c>
      <c r="J58" s="351">
        <f t="shared" si="0"/>
        <v>0</v>
      </c>
      <c r="K58" s="317"/>
    </row>
    <row r="59" spans="1:11" s="4" customFormat="1" ht="63.75">
      <c r="A59" s="83" t="s">
        <v>552</v>
      </c>
      <c r="B59" s="115" t="s">
        <v>412</v>
      </c>
      <c r="C59" s="115"/>
      <c r="D59" s="183">
        <f>D60</f>
        <v>50</v>
      </c>
      <c r="E59" s="317"/>
      <c r="F59" s="317"/>
      <c r="G59" s="317"/>
      <c r="H59" s="183">
        <f>H60</f>
        <v>50</v>
      </c>
      <c r="I59" s="183">
        <f>I60</f>
        <v>0</v>
      </c>
      <c r="J59" s="351">
        <f t="shared" si="0"/>
        <v>0</v>
      </c>
      <c r="K59" s="317"/>
    </row>
    <row r="60" spans="1:11" s="4" customFormat="1" ht="25.5">
      <c r="A60" s="79" t="s">
        <v>190</v>
      </c>
      <c r="B60" s="115" t="s">
        <v>412</v>
      </c>
      <c r="C60" s="115" t="s">
        <v>178</v>
      </c>
      <c r="D60" s="183">
        <f>D61</f>
        <v>50</v>
      </c>
      <c r="E60" s="317"/>
      <c r="F60" s="317"/>
      <c r="G60" s="317"/>
      <c r="H60" s="183">
        <f>H61</f>
        <v>50</v>
      </c>
      <c r="I60" s="183">
        <f>I61</f>
        <v>0</v>
      </c>
      <c r="J60" s="351">
        <f t="shared" si="0"/>
        <v>0</v>
      </c>
      <c r="K60" s="317"/>
    </row>
    <row r="61" spans="1:11" s="4" customFormat="1" ht="12.75">
      <c r="A61" s="83" t="s">
        <v>191</v>
      </c>
      <c r="B61" s="115" t="s">
        <v>412</v>
      </c>
      <c r="C61" s="115" t="s">
        <v>192</v>
      </c>
      <c r="D61" s="183">
        <v>50</v>
      </c>
      <c r="E61" s="317"/>
      <c r="F61" s="317"/>
      <c r="G61" s="317"/>
      <c r="H61" s="183">
        <v>50</v>
      </c>
      <c r="I61" s="178">
        <f>D61-H61</f>
        <v>0</v>
      </c>
      <c r="J61" s="351">
        <f t="shared" si="0"/>
        <v>0</v>
      </c>
      <c r="K61" s="317"/>
    </row>
    <row r="62" spans="1:10" ht="38.25">
      <c r="A62" s="71" t="s">
        <v>595</v>
      </c>
      <c r="B62" s="117" t="s">
        <v>596</v>
      </c>
      <c r="C62" s="117"/>
      <c r="D62" s="183">
        <f>D63</f>
        <v>609.1</v>
      </c>
      <c r="H62" s="183">
        <f>H63</f>
        <v>609.1</v>
      </c>
      <c r="I62" s="183">
        <f>I63</f>
        <v>0</v>
      </c>
      <c r="J62" s="351">
        <f t="shared" si="0"/>
        <v>0</v>
      </c>
    </row>
    <row r="63" spans="1:10" ht="26.25">
      <c r="A63" s="63" t="s">
        <v>190</v>
      </c>
      <c r="B63" s="117" t="s">
        <v>596</v>
      </c>
      <c r="C63" s="117" t="s">
        <v>178</v>
      </c>
      <c r="D63" s="183">
        <f>D64</f>
        <v>609.1</v>
      </c>
      <c r="H63" s="183">
        <f>H64</f>
        <v>609.1</v>
      </c>
      <c r="I63" s="183">
        <f>I64</f>
        <v>0</v>
      </c>
      <c r="J63" s="351">
        <f t="shared" si="0"/>
        <v>0</v>
      </c>
    </row>
    <row r="64" spans="1:10" ht="15.75">
      <c r="A64" s="50" t="s">
        <v>191</v>
      </c>
      <c r="B64" s="117" t="s">
        <v>596</v>
      </c>
      <c r="C64" s="117" t="s">
        <v>192</v>
      </c>
      <c r="D64" s="183">
        <v>609.1</v>
      </c>
      <c r="H64" s="183">
        <v>609.1</v>
      </c>
      <c r="I64" s="178">
        <f>D64-H64</f>
        <v>0</v>
      </c>
      <c r="J64" s="351">
        <f t="shared" si="0"/>
        <v>0</v>
      </c>
    </row>
    <row r="65" spans="1:11" s="13" customFormat="1" ht="26.25">
      <c r="A65" s="59" t="s">
        <v>543</v>
      </c>
      <c r="B65" s="145" t="s">
        <v>28</v>
      </c>
      <c r="C65" s="145"/>
      <c r="D65" s="184">
        <f aca="true" t="shared" si="1" ref="D65:I65">D66+D69+D72+D75+D78+D84+D87+D90+D93+D99+D102+D129+D105+D108+D114+D117+D120+D123+D126+D132+D111+D96</f>
        <v>459593.54699999996</v>
      </c>
      <c r="E65" s="184">
        <f t="shared" si="1"/>
        <v>0</v>
      </c>
      <c r="F65" s="184">
        <f t="shared" si="1"/>
        <v>0</v>
      </c>
      <c r="G65" s="184">
        <f t="shared" si="1"/>
        <v>0</v>
      </c>
      <c r="H65" s="184">
        <f>H66+H69+H72+H75+H78+H84+H87+H90+H93+H99+H102+H129+H105+H108+H114+H117+H120+H123+H126+H132+H111+H96</f>
        <v>459593.56999999995</v>
      </c>
      <c r="I65" s="184">
        <f t="shared" si="1"/>
        <v>-0.022999999998859266</v>
      </c>
      <c r="J65" s="351">
        <f t="shared" si="0"/>
        <v>-0.022999999986495823</v>
      </c>
      <c r="K65" s="31"/>
    </row>
    <row r="66" spans="1:10" ht="15.75">
      <c r="A66" s="143" t="s">
        <v>104</v>
      </c>
      <c r="B66" s="115" t="s">
        <v>29</v>
      </c>
      <c r="C66" s="115"/>
      <c r="D66" s="183">
        <f>D67</f>
        <v>146838.8</v>
      </c>
      <c r="H66" s="183">
        <f>H67</f>
        <v>146838.8</v>
      </c>
      <c r="I66" s="183">
        <f>I67</f>
        <v>0</v>
      </c>
      <c r="J66" s="351">
        <f t="shared" si="0"/>
        <v>0</v>
      </c>
    </row>
    <row r="67" spans="1:10" ht="26.25">
      <c r="A67" s="79" t="s">
        <v>190</v>
      </c>
      <c r="B67" s="115" t="s">
        <v>29</v>
      </c>
      <c r="C67" s="115" t="s">
        <v>178</v>
      </c>
      <c r="D67" s="178">
        <f>D68</f>
        <v>146838.8</v>
      </c>
      <c r="H67" s="178">
        <f>H68</f>
        <v>146838.8</v>
      </c>
      <c r="I67" s="178">
        <f>I68</f>
        <v>0</v>
      </c>
      <c r="J67" s="351">
        <f t="shared" si="0"/>
        <v>0</v>
      </c>
    </row>
    <row r="68" spans="1:10" ht="15.75">
      <c r="A68" s="83" t="s">
        <v>191</v>
      </c>
      <c r="B68" s="115" t="s">
        <v>29</v>
      </c>
      <c r="C68" s="115" t="s">
        <v>192</v>
      </c>
      <c r="D68" s="178">
        <v>146838.8</v>
      </c>
      <c r="H68" s="178">
        <v>146838.8</v>
      </c>
      <c r="I68" s="178">
        <f>D68-H68</f>
        <v>0</v>
      </c>
      <c r="J68" s="351">
        <f t="shared" si="0"/>
        <v>0</v>
      </c>
    </row>
    <row r="69" spans="1:10" ht="15.75">
      <c r="A69" s="84" t="s">
        <v>216</v>
      </c>
      <c r="B69" s="115" t="s">
        <v>222</v>
      </c>
      <c r="C69" s="115"/>
      <c r="D69" s="178">
        <f>D70</f>
        <v>1000</v>
      </c>
      <c r="H69" s="178">
        <f>H70</f>
        <v>1000</v>
      </c>
      <c r="I69" s="178">
        <f>I70</f>
        <v>0</v>
      </c>
      <c r="J69" s="351">
        <f t="shared" si="0"/>
        <v>0</v>
      </c>
    </row>
    <row r="70" spans="1:10" ht="26.25">
      <c r="A70" s="79" t="s">
        <v>190</v>
      </c>
      <c r="B70" s="115" t="s">
        <v>222</v>
      </c>
      <c r="C70" s="115" t="s">
        <v>178</v>
      </c>
      <c r="D70" s="178">
        <f>D71</f>
        <v>1000</v>
      </c>
      <c r="H70" s="178">
        <f>H71</f>
        <v>1000</v>
      </c>
      <c r="I70" s="178">
        <f>I71</f>
        <v>0</v>
      </c>
      <c r="J70" s="351">
        <f aca="true" t="shared" si="2" ref="J70:J133">D70-H70</f>
        <v>0</v>
      </c>
    </row>
    <row r="71" spans="1:10" ht="15.75">
      <c r="A71" s="83" t="s">
        <v>191</v>
      </c>
      <c r="B71" s="115" t="s">
        <v>222</v>
      </c>
      <c r="C71" s="115" t="s">
        <v>192</v>
      </c>
      <c r="D71" s="178">
        <v>1000</v>
      </c>
      <c r="H71" s="178">
        <v>1000</v>
      </c>
      <c r="I71" s="178">
        <f>D71-H71</f>
        <v>0</v>
      </c>
      <c r="J71" s="351">
        <f t="shared" si="2"/>
        <v>0</v>
      </c>
    </row>
    <row r="72" spans="1:10" ht="27" customHeight="1">
      <c r="A72" s="304" t="s">
        <v>632</v>
      </c>
      <c r="B72" s="115" t="s">
        <v>413</v>
      </c>
      <c r="C72" s="115"/>
      <c r="D72" s="178">
        <f>D73</f>
        <v>1000</v>
      </c>
      <c r="H72" s="178">
        <f>H73</f>
        <v>1000</v>
      </c>
      <c r="I72" s="178">
        <f>I73</f>
        <v>0</v>
      </c>
      <c r="J72" s="351">
        <f t="shared" si="2"/>
        <v>0</v>
      </c>
    </row>
    <row r="73" spans="1:10" ht="26.25">
      <c r="A73" s="79" t="s">
        <v>190</v>
      </c>
      <c r="B73" s="115" t="s">
        <v>413</v>
      </c>
      <c r="C73" s="115" t="s">
        <v>178</v>
      </c>
      <c r="D73" s="178">
        <f>D74</f>
        <v>1000</v>
      </c>
      <c r="H73" s="178">
        <f>H74</f>
        <v>1000</v>
      </c>
      <c r="I73" s="178">
        <f>I74</f>
        <v>0</v>
      </c>
      <c r="J73" s="351">
        <f t="shared" si="2"/>
        <v>0</v>
      </c>
    </row>
    <row r="74" spans="1:10" ht="15.75">
      <c r="A74" s="83" t="s">
        <v>191</v>
      </c>
      <c r="B74" s="115" t="s">
        <v>413</v>
      </c>
      <c r="C74" s="115" t="s">
        <v>192</v>
      </c>
      <c r="D74" s="178">
        <v>1000</v>
      </c>
      <c r="H74" s="178">
        <v>1000</v>
      </c>
      <c r="I74" s="178">
        <f>D74-H74</f>
        <v>0</v>
      </c>
      <c r="J74" s="351">
        <f t="shared" si="2"/>
        <v>0</v>
      </c>
    </row>
    <row r="75" spans="1:11" s="4" customFormat="1" ht="12.75">
      <c r="A75" s="84" t="s">
        <v>266</v>
      </c>
      <c r="B75" s="115" t="s">
        <v>30</v>
      </c>
      <c r="C75" s="115"/>
      <c r="D75" s="178">
        <f>D76</f>
        <v>2560.1</v>
      </c>
      <c r="E75" s="317"/>
      <c r="F75" s="317"/>
      <c r="G75" s="317"/>
      <c r="H75" s="178">
        <f>H76</f>
        <v>2560.1</v>
      </c>
      <c r="I75" s="178">
        <f>I76</f>
        <v>0</v>
      </c>
      <c r="J75" s="351">
        <f t="shared" si="2"/>
        <v>0</v>
      </c>
      <c r="K75" s="317"/>
    </row>
    <row r="76" spans="1:11" s="4" customFormat="1" ht="25.5">
      <c r="A76" s="79" t="s">
        <v>190</v>
      </c>
      <c r="B76" s="115" t="s">
        <v>30</v>
      </c>
      <c r="C76" s="115" t="s">
        <v>178</v>
      </c>
      <c r="D76" s="178">
        <f>D77</f>
        <v>2560.1</v>
      </c>
      <c r="E76" s="317"/>
      <c r="F76" s="317"/>
      <c r="G76" s="317"/>
      <c r="H76" s="178">
        <f>H77</f>
        <v>2560.1</v>
      </c>
      <c r="I76" s="178">
        <f>I77</f>
        <v>0</v>
      </c>
      <c r="J76" s="351">
        <f t="shared" si="2"/>
        <v>0</v>
      </c>
      <c r="K76" s="317"/>
    </row>
    <row r="77" spans="1:11" s="4" customFormat="1" ht="12.75">
      <c r="A77" s="83" t="s">
        <v>191</v>
      </c>
      <c r="B77" s="115" t="s">
        <v>30</v>
      </c>
      <c r="C77" s="115" t="s">
        <v>192</v>
      </c>
      <c r="D77" s="178">
        <v>2560.1</v>
      </c>
      <c r="E77" s="317"/>
      <c r="F77" s="317"/>
      <c r="G77" s="317"/>
      <c r="H77" s="178">
        <v>2560.1</v>
      </c>
      <c r="I77" s="178">
        <f>D77-H77</f>
        <v>0</v>
      </c>
      <c r="J77" s="351">
        <f t="shared" si="2"/>
        <v>0</v>
      </c>
      <c r="K77" s="317"/>
    </row>
    <row r="78" spans="1:11" s="4" customFormat="1" ht="25.5">
      <c r="A78" s="84" t="s">
        <v>267</v>
      </c>
      <c r="B78" s="115" t="s">
        <v>31</v>
      </c>
      <c r="C78" s="115"/>
      <c r="D78" s="178">
        <f>D82+D79</f>
        <v>422.5</v>
      </c>
      <c r="E78" s="317"/>
      <c r="F78" s="317"/>
      <c r="G78" s="317"/>
      <c r="H78" s="178">
        <f>H82+H79</f>
        <v>422.5</v>
      </c>
      <c r="I78" s="178">
        <f>I82+I79</f>
        <v>0</v>
      </c>
      <c r="J78" s="351">
        <f t="shared" si="2"/>
        <v>0</v>
      </c>
      <c r="K78" s="317"/>
    </row>
    <row r="79" spans="1:11" s="4" customFormat="1" ht="12.75">
      <c r="A79" s="140" t="s">
        <v>89</v>
      </c>
      <c r="B79" s="115" t="s">
        <v>31</v>
      </c>
      <c r="C79" s="115" t="s">
        <v>85</v>
      </c>
      <c r="D79" s="178">
        <f>D80+D81</f>
        <v>252.5</v>
      </c>
      <c r="E79" s="317"/>
      <c r="F79" s="317"/>
      <c r="G79" s="317"/>
      <c r="H79" s="178">
        <f>H80+H81</f>
        <v>252.5</v>
      </c>
      <c r="I79" s="178">
        <f>I80+I81</f>
        <v>0</v>
      </c>
      <c r="J79" s="351">
        <f t="shared" si="2"/>
        <v>0</v>
      </c>
      <c r="K79" s="317"/>
    </row>
    <row r="80" spans="1:11" s="4" customFormat="1" ht="12.75">
      <c r="A80" s="85" t="s">
        <v>84</v>
      </c>
      <c r="B80" s="115" t="s">
        <v>31</v>
      </c>
      <c r="C80" s="115" t="s">
        <v>86</v>
      </c>
      <c r="D80" s="178">
        <v>180</v>
      </c>
      <c r="E80" s="317"/>
      <c r="F80" s="317"/>
      <c r="G80" s="317"/>
      <c r="H80" s="178">
        <v>180</v>
      </c>
      <c r="I80" s="178">
        <f>D80-H80</f>
        <v>0</v>
      </c>
      <c r="J80" s="351">
        <f t="shared" si="2"/>
        <v>0</v>
      </c>
      <c r="K80" s="317"/>
    </row>
    <row r="81" spans="1:11" s="4" customFormat="1" ht="12.75">
      <c r="A81" s="85" t="s">
        <v>235</v>
      </c>
      <c r="B81" s="115" t="s">
        <v>31</v>
      </c>
      <c r="C81" s="115" t="s">
        <v>234</v>
      </c>
      <c r="D81" s="178">
        <v>72.5</v>
      </c>
      <c r="E81" s="317"/>
      <c r="F81" s="317"/>
      <c r="G81" s="317"/>
      <c r="H81" s="178">
        <v>72.5</v>
      </c>
      <c r="I81" s="178">
        <f>D81-H81</f>
        <v>0</v>
      </c>
      <c r="J81" s="351">
        <f t="shared" si="2"/>
        <v>0</v>
      </c>
      <c r="K81" s="317"/>
    </row>
    <row r="82" spans="1:11" s="4" customFormat="1" ht="25.5">
      <c r="A82" s="79" t="s">
        <v>190</v>
      </c>
      <c r="B82" s="115" t="s">
        <v>31</v>
      </c>
      <c r="C82" s="115" t="s">
        <v>178</v>
      </c>
      <c r="D82" s="178">
        <f>D83</f>
        <v>170</v>
      </c>
      <c r="E82" s="317"/>
      <c r="F82" s="317"/>
      <c r="G82" s="317"/>
      <c r="H82" s="178">
        <f>H83</f>
        <v>170</v>
      </c>
      <c r="I82" s="178">
        <f>I83</f>
        <v>0</v>
      </c>
      <c r="J82" s="351">
        <f t="shared" si="2"/>
        <v>0</v>
      </c>
      <c r="K82" s="317"/>
    </row>
    <row r="83" spans="1:11" s="4" customFormat="1" ht="12.75">
      <c r="A83" s="83" t="s">
        <v>191</v>
      </c>
      <c r="B83" s="115" t="s">
        <v>31</v>
      </c>
      <c r="C83" s="115" t="s">
        <v>192</v>
      </c>
      <c r="D83" s="178">
        <v>170</v>
      </c>
      <c r="E83" s="317"/>
      <c r="F83" s="317"/>
      <c r="G83" s="317"/>
      <c r="H83" s="178">
        <v>170</v>
      </c>
      <c r="I83" s="178">
        <f>D83-H83</f>
        <v>0</v>
      </c>
      <c r="J83" s="351">
        <f t="shared" si="2"/>
        <v>0</v>
      </c>
      <c r="K83" s="317"/>
    </row>
    <row r="84" spans="1:11" s="4" customFormat="1" ht="12.75">
      <c r="A84" s="84" t="s">
        <v>268</v>
      </c>
      <c r="B84" s="115" t="s">
        <v>32</v>
      </c>
      <c r="C84" s="115"/>
      <c r="D84" s="178">
        <f>D85</f>
        <v>2853.4</v>
      </c>
      <c r="E84" s="317"/>
      <c r="F84" s="317"/>
      <c r="G84" s="317"/>
      <c r="H84" s="178">
        <f>H85</f>
        <v>2853.4</v>
      </c>
      <c r="I84" s="178">
        <f>I85</f>
        <v>0</v>
      </c>
      <c r="J84" s="351">
        <f t="shared" si="2"/>
        <v>0</v>
      </c>
      <c r="K84" s="317"/>
    </row>
    <row r="85" spans="1:11" s="4" customFormat="1" ht="25.5">
      <c r="A85" s="79" t="s">
        <v>190</v>
      </c>
      <c r="B85" s="115" t="s">
        <v>32</v>
      </c>
      <c r="C85" s="115" t="s">
        <v>178</v>
      </c>
      <c r="D85" s="178">
        <f>D86</f>
        <v>2853.4</v>
      </c>
      <c r="E85" s="317"/>
      <c r="F85" s="317"/>
      <c r="G85" s="317"/>
      <c r="H85" s="178">
        <f>H86</f>
        <v>2853.4</v>
      </c>
      <c r="I85" s="178">
        <f>I86</f>
        <v>0</v>
      </c>
      <c r="J85" s="351">
        <f t="shared" si="2"/>
        <v>0</v>
      </c>
      <c r="K85" s="317"/>
    </row>
    <row r="86" spans="1:11" s="4" customFormat="1" ht="12.75">
      <c r="A86" s="83" t="s">
        <v>191</v>
      </c>
      <c r="B86" s="115" t="s">
        <v>32</v>
      </c>
      <c r="C86" s="115" t="s">
        <v>192</v>
      </c>
      <c r="D86" s="178">
        <v>2853.4</v>
      </c>
      <c r="E86" s="317"/>
      <c r="F86" s="317"/>
      <c r="G86" s="317"/>
      <c r="H86" s="178">
        <v>2853.4</v>
      </c>
      <c r="I86" s="178">
        <f>D86-H86</f>
        <v>0</v>
      </c>
      <c r="J86" s="351">
        <f t="shared" si="2"/>
        <v>0</v>
      </c>
      <c r="K86" s="317"/>
    </row>
    <row r="87" spans="1:11" s="4" customFormat="1" ht="12.75">
      <c r="A87" s="83" t="s">
        <v>335</v>
      </c>
      <c r="B87" s="115" t="s">
        <v>421</v>
      </c>
      <c r="C87" s="115"/>
      <c r="D87" s="178">
        <f>D88</f>
        <v>750</v>
      </c>
      <c r="E87" s="317"/>
      <c r="F87" s="317"/>
      <c r="G87" s="317"/>
      <c r="H87" s="178">
        <f>H88</f>
        <v>750</v>
      </c>
      <c r="I87" s="178">
        <f>I88</f>
        <v>0</v>
      </c>
      <c r="J87" s="351">
        <f t="shared" si="2"/>
        <v>0</v>
      </c>
      <c r="K87" s="317"/>
    </row>
    <row r="88" spans="1:11" s="4" customFormat="1" ht="25.5">
      <c r="A88" s="79" t="s">
        <v>190</v>
      </c>
      <c r="B88" s="115" t="s">
        <v>421</v>
      </c>
      <c r="C88" s="115" t="s">
        <v>178</v>
      </c>
      <c r="D88" s="178">
        <f>D89</f>
        <v>750</v>
      </c>
      <c r="E88" s="317"/>
      <c r="F88" s="317"/>
      <c r="G88" s="317"/>
      <c r="H88" s="178">
        <f>H89</f>
        <v>750</v>
      </c>
      <c r="I88" s="178">
        <f>I89</f>
        <v>0</v>
      </c>
      <c r="J88" s="351">
        <f t="shared" si="2"/>
        <v>0</v>
      </c>
      <c r="K88" s="317"/>
    </row>
    <row r="89" spans="1:11" s="4" customFormat="1" ht="12.75">
      <c r="A89" s="83" t="s">
        <v>191</v>
      </c>
      <c r="B89" s="115" t="s">
        <v>421</v>
      </c>
      <c r="C89" s="115" t="s">
        <v>192</v>
      </c>
      <c r="D89" s="178">
        <f>50+700</f>
        <v>750</v>
      </c>
      <c r="E89" s="317"/>
      <c r="F89" s="317"/>
      <c r="G89" s="317"/>
      <c r="H89" s="178">
        <f>50+700</f>
        <v>750</v>
      </c>
      <c r="I89" s="178">
        <f>D89-H89</f>
        <v>0</v>
      </c>
      <c r="J89" s="351">
        <f t="shared" si="2"/>
        <v>0</v>
      </c>
      <c r="K89" s="317"/>
    </row>
    <row r="90" spans="1:11" s="4" customFormat="1" ht="12.75">
      <c r="A90" s="84" t="s">
        <v>257</v>
      </c>
      <c r="B90" s="115" t="s">
        <v>258</v>
      </c>
      <c r="C90" s="115"/>
      <c r="D90" s="185">
        <f>D91</f>
        <v>2333.5</v>
      </c>
      <c r="E90" s="317"/>
      <c r="F90" s="317"/>
      <c r="G90" s="317"/>
      <c r="H90" s="185">
        <f>H91</f>
        <v>2333.5</v>
      </c>
      <c r="I90" s="185">
        <f>I91</f>
        <v>0</v>
      </c>
      <c r="J90" s="351">
        <f t="shared" si="2"/>
        <v>0</v>
      </c>
      <c r="K90" s="317"/>
    </row>
    <row r="91" spans="1:11" s="4" customFormat="1" ht="25.5">
      <c r="A91" s="79" t="s">
        <v>190</v>
      </c>
      <c r="B91" s="115" t="s">
        <v>258</v>
      </c>
      <c r="C91" s="115" t="s">
        <v>178</v>
      </c>
      <c r="D91" s="185">
        <f>D92</f>
        <v>2333.5</v>
      </c>
      <c r="E91" s="317"/>
      <c r="F91" s="317"/>
      <c r="G91" s="317"/>
      <c r="H91" s="185">
        <f>H92</f>
        <v>2333.5</v>
      </c>
      <c r="I91" s="185">
        <f>I92</f>
        <v>0</v>
      </c>
      <c r="J91" s="351">
        <f t="shared" si="2"/>
        <v>0</v>
      </c>
      <c r="K91" s="317"/>
    </row>
    <row r="92" spans="1:11" s="4" customFormat="1" ht="12.75">
      <c r="A92" s="83" t="s">
        <v>191</v>
      </c>
      <c r="B92" s="115" t="s">
        <v>258</v>
      </c>
      <c r="C92" s="115" t="s">
        <v>192</v>
      </c>
      <c r="D92" s="185">
        <v>2333.5</v>
      </c>
      <c r="E92" s="317"/>
      <c r="F92" s="317"/>
      <c r="G92" s="317"/>
      <c r="H92" s="185">
        <v>2333.5</v>
      </c>
      <c r="I92" s="178">
        <f>D92-H92</f>
        <v>0</v>
      </c>
      <c r="J92" s="351">
        <f t="shared" si="2"/>
        <v>0</v>
      </c>
      <c r="K92" s="317"/>
    </row>
    <row r="93" spans="1:11" s="4" customFormat="1" ht="29.25" customHeight="1">
      <c r="A93" s="83" t="s">
        <v>604</v>
      </c>
      <c r="B93" s="117" t="s">
        <v>603</v>
      </c>
      <c r="C93" s="117"/>
      <c r="D93" s="178">
        <f>D94</f>
        <v>950</v>
      </c>
      <c r="E93" s="317"/>
      <c r="F93" s="317"/>
      <c r="G93" s="317"/>
      <c r="H93" s="178">
        <f>H94</f>
        <v>950</v>
      </c>
      <c r="I93" s="178">
        <f>I94</f>
        <v>0</v>
      </c>
      <c r="J93" s="351">
        <f t="shared" si="2"/>
        <v>0</v>
      </c>
      <c r="K93" s="317"/>
    </row>
    <row r="94" spans="1:11" s="4" customFormat="1" ht="25.5">
      <c r="A94" s="79" t="s">
        <v>190</v>
      </c>
      <c r="B94" s="117" t="s">
        <v>603</v>
      </c>
      <c r="C94" s="117" t="s">
        <v>178</v>
      </c>
      <c r="D94" s="178">
        <f>D95</f>
        <v>950</v>
      </c>
      <c r="E94" s="317"/>
      <c r="F94" s="317"/>
      <c r="G94" s="317"/>
      <c r="H94" s="178">
        <f>H95</f>
        <v>950</v>
      </c>
      <c r="I94" s="178">
        <f>I95</f>
        <v>0</v>
      </c>
      <c r="J94" s="351">
        <f t="shared" si="2"/>
        <v>0</v>
      </c>
      <c r="K94" s="317"/>
    </row>
    <row r="95" spans="1:11" s="4" customFormat="1" ht="12.75">
      <c r="A95" s="83" t="s">
        <v>191</v>
      </c>
      <c r="B95" s="117" t="s">
        <v>603</v>
      </c>
      <c r="C95" s="117" t="s">
        <v>192</v>
      </c>
      <c r="D95" s="178">
        <v>950</v>
      </c>
      <c r="E95" s="317"/>
      <c r="F95" s="317"/>
      <c r="G95" s="317"/>
      <c r="H95" s="178">
        <v>950</v>
      </c>
      <c r="I95" s="178">
        <f>D95-H95</f>
        <v>0</v>
      </c>
      <c r="J95" s="351">
        <f t="shared" si="2"/>
        <v>0</v>
      </c>
      <c r="K95" s="317"/>
    </row>
    <row r="96" spans="1:11" s="1" customFormat="1" ht="25.5">
      <c r="A96" s="50" t="s">
        <v>389</v>
      </c>
      <c r="B96" s="115" t="s">
        <v>390</v>
      </c>
      <c r="C96" s="115"/>
      <c r="D96" s="178">
        <f>D97</f>
        <v>22330.985</v>
      </c>
      <c r="E96" s="316"/>
      <c r="F96" s="316"/>
      <c r="G96" s="316"/>
      <c r="H96" s="178">
        <f>H97</f>
        <v>22331</v>
      </c>
      <c r="I96" s="178">
        <f>I97</f>
        <v>-0.014999999999417923</v>
      </c>
      <c r="J96" s="351">
        <f t="shared" si="2"/>
        <v>-0.014999999999417923</v>
      </c>
      <c r="K96" s="316"/>
    </row>
    <row r="97" spans="1:11" s="1" customFormat="1" ht="25.5">
      <c r="A97" s="50" t="s">
        <v>190</v>
      </c>
      <c r="B97" s="115" t="s">
        <v>390</v>
      </c>
      <c r="C97" s="115" t="s">
        <v>178</v>
      </c>
      <c r="D97" s="178">
        <f>D98</f>
        <v>22330.985</v>
      </c>
      <c r="E97" s="316"/>
      <c r="F97" s="316"/>
      <c r="G97" s="316"/>
      <c r="H97" s="178">
        <f>H98</f>
        <v>22331</v>
      </c>
      <c r="I97" s="178">
        <f>I98</f>
        <v>-0.014999999999417923</v>
      </c>
      <c r="J97" s="351">
        <f t="shared" si="2"/>
        <v>-0.014999999999417923</v>
      </c>
      <c r="K97" s="316"/>
    </row>
    <row r="98" spans="1:11" s="1" customFormat="1" ht="12.75">
      <c r="A98" s="50" t="s">
        <v>191</v>
      </c>
      <c r="B98" s="115" t="s">
        <v>390</v>
      </c>
      <c r="C98" s="115" t="s">
        <v>192</v>
      </c>
      <c r="D98" s="178">
        <v>22330.985</v>
      </c>
      <c r="E98" s="316"/>
      <c r="F98" s="316"/>
      <c r="G98" s="316"/>
      <c r="H98" s="178">
        <f>22204.8+126.2</f>
        <v>22331</v>
      </c>
      <c r="I98" s="178">
        <f>D98-H98</f>
        <v>-0.014999999999417923</v>
      </c>
      <c r="J98" s="351">
        <f t="shared" si="2"/>
        <v>-0.014999999999417923</v>
      </c>
      <c r="K98" s="316"/>
    </row>
    <row r="99" spans="1:11" s="1" customFormat="1" ht="12.75">
      <c r="A99" s="89" t="s">
        <v>624</v>
      </c>
      <c r="B99" s="117" t="s">
        <v>623</v>
      </c>
      <c r="C99" s="115"/>
      <c r="D99" s="183">
        <f>D100</f>
        <v>500</v>
      </c>
      <c r="E99" s="316"/>
      <c r="F99" s="316"/>
      <c r="G99" s="316"/>
      <c r="H99" s="183">
        <f>H100</f>
        <v>500</v>
      </c>
      <c r="I99" s="183">
        <f>I100</f>
        <v>0</v>
      </c>
      <c r="J99" s="351">
        <f t="shared" si="2"/>
        <v>0</v>
      </c>
      <c r="K99" s="316"/>
    </row>
    <row r="100" spans="1:11" s="1" customFormat="1" ht="25.5">
      <c r="A100" s="63" t="s">
        <v>190</v>
      </c>
      <c r="B100" s="117" t="s">
        <v>623</v>
      </c>
      <c r="C100" s="115" t="s">
        <v>178</v>
      </c>
      <c r="D100" s="183">
        <f>D101</f>
        <v>500</v>
      </c>
      <c r="E100" s="316"/>
      <c r="F100" s="316"/>
      <c r="G100" s="316"/>
      <c r="H100" s="183">
        <f>H101</f>
        <v>500</v>
      </c>
      <c r="I100" s="183">
        <f>I101</f>
        <v>0</v>
      </c>
      <c r="J100" s="351">
        <f t="shared" si="2"/>
        <v>0</v>
      </c>
      <c r="K100" s="316"/>
    </row>
    <row r="101" spans="1:11" s="1" customFormat="1" ht="12.75">
      <c r="A101" s="83" t="s">
        <v>191</v>
      </c>
      <c r="B101" s="117" t="s">
        <v>623</v>
      </c>
      <c r="C101" s="115" t="s">
        <v>192</v>
      </c>
      <c r="D101" s="183">
        <v>500</v>
      </c>
      <c r="E101" s="316"/>
      <c r="F101" s="316"/>
      <c r="G101" s="316"/>
      <c r="H101" s="183">
        <v>500</v>
      </c>
      <c r="I101" s="178">
        <f>D101-H101</f>
        <v>0</v>
      </c>
      <c r="J101" s="351">
        <f t="shared" si="2"/>
        <v>0</v>
      </c>
      <c r="K101" s="316"/>
    </row>
    <row r="102" spans="1:11" s="1" customFormat="1" ht="191.25">
      <c r="A102" s="84" t="s">
        <v>686</v>
      </c>
      <c r="B102" s="115" t="s">
        <v>688</v>
      </c>
      <c r="C102" s="115"/>
      <c r="D102" s="183">
        <f>D103</f>
        <v>338.542</v>
      </c>
      <c r="E102" s="34"/>
      <c r="F102" s="34"/>
      <c r="G102" s="34"/>
      <c r="H102" s="183">
        <f>H103</f>
        <v>338.5</v>
      </c>
      <c r="I102" s="183">
        <f>I103</f>
        <v>0.04199999999997317</v>
      </c>
      <c r="J102" s="351">
        <f t="shared" si="2"/>
        <v>0.04199999999997317</v>
      </c>
      <c r="K102" s="316"/>
    </row>
    <row r="103" spans="1:11" s="1" customFormat="1" ht="26.25">
      <c r="A103" s="79" t="s">
        <v>190</v>
      </c>
      <c r="B103" s="115" t="s">
        <v>688</v>
      </c>
      <c r="C103" s="115" t="s">
        <v>178</v>
      </c>
      <c r="D103" s="183">
        <f>D104</f>
        <v>338.542</v>
      </c>
      <c r="E103" s="34"/>
      <c r="F103" s="34"/>
      <c r="G103" s="34"/>
      <c r="H103" s="183">
        <f>H104</f>
        <v>338.5</v>
      </c>
      <c r="I103" s="183">
        <f>I104</f>
        <v>0.04199999999997317</v>
      </c>
      <c r="J103" s="351">
        <f t="shared" si="2"/>
        <v>0.04199999999997317</v>
      </c>
      <c r="K103" s="316"/>
    </row>
    <row r="104" spans="1:11" s="1" customFormat="1" ht="15.75">
      <c r="A104" s="327" t="s">
        <v>191</v>
      </c>
      <c r="B104" s="115" t="s">
        <v>688</v>
      </c>
      <c r="C104" s="115" t="s">
        <v>192</v>
      </c>
      <c r="D104" s="183">
        <v>338.542</v>
      </c>
      <c r="E104" s="34"/>
      <c r="F104" s="34"/>
      <c r="G104" s="34"/>
      <c r="H104" s="183">
        <v>338.5</v>
      </c>
      <c r="I104" s="178">
        <f>D104-H104</f>
        <v>0.04199999999997317</v>
      </c>
      <c r="J104" s="351">
        <f t="shared" si="2"/>
        <v>0.04199999999997317</v>
      </c>
      <c r="K104" s="316"/>
    </row>
    <row r="105" spans="1:11" s="4" customFormat="1" ht="51">
      <c r="A105" s="85" t="s">
        <v>249</v>
      </c>
      <c r="B105" s="115" t="s">
        <v>245</v>
      </c>
      <c r="C105" s="115"/>
      <c r="D105" s="183">
        <f>D106</f>
        <v>3890.9580000000005</v>
      </c>
      <c r="E105" s="317"/>
      <c r="F105" s="317"/>
      <c r="G105" s="317"/>
      <c r="H105" s="183">
        <f>H106</f>
        <v>3890.9580000000005</v>
      </c>
      <c r="I105" s="183">
        <f>I106</f>
        <v>0</v>
      </c>
      <c r="J105" s="351">
        <f t="shared" si="2"/>
        <v>0</v>
      </c>
      <c r="K105" s="317"/>
    </row>
    <row r="106" spans="1:11" s="4" customFormat="1" ht="25.5">
      <c r="A106" s="79" t="s">
        <v>190</v>
      </c>
      <c r="B106" s="115" t="s">
        <v>245</v>
      </c>
      <c r="C106" s="115" t="s">
        <v>178</v>
      </c>
      <c r="D106" s="183">
        <f>D107</f>
        <v>3890.9580000000005</v>
      </c>
      <c r="E106" s="317"/>
      <c r="F106" s="317"/>
      <c r="G106" s="317"/>
      <c r="H106" s="183">
        <f>H107</f>
        <v>3890.9580000000005</v>
      </c>
      <c r="I106" s="183">
        <f>I107</f>
        <v>0</v>
      </c>
      <c r="J106" s="351">
        <f t="shared" si="2"/>
        <v>0</v>
      </c>
      <c r="K106" s="317"/>
    </row>
    <row r="107" spans="1:11" s="4" customFormat="1" ht="12.75">
      <c r="A107" s="83" t="s">
        <v>191</v>
      </c>
      <c r="B107" s="115" t="s">
        <v>245</v>
      </c>
      <c r="C107" s="115" t="s">
        <v>192</v>
      </c>
      <c r="D107" s="183">
        <f>4548.658-657.7</f>
        <v>3890.9580000000005</v>
      </c>
      <c r="E107" s="317"/>
      <c r="F107" s="317"/>
      <c r="G107" s="317"/>
      <c r="H107" s="183">
        <f>4548.658-657.7</f>
        <v>3890.9580000000005</v>
      </c>
      <c r="I107" s="178">
        <f>D107-H107</f>
        <v>0</v>
      </c>
      <c r="J107" s="351">
        <f t="shared" si="2"/>
        <v>0</v>
      </c>
      <c r="K107" s="317"/>
    </row>
    <row r="108" spans="1:10" ht="15.75">
      <c r="A108" s="84" t="s">
        <v>272</v>
      </c>
      <c r="B108" s="115" t="s">
        <v>37</v>
      </c>
      <c r="C108" s="115"/>
      <c r="D108" s="183">
        <f>D109</f>
        <v>252942.5</v>
      </c>
      <c r="H108" s="183">
        <f>H109</f>
        <v>252942.5</v>
      </c>
      <c r="I108" s="183">
        <f>I109</f>
        <v>0</v>
      </c>
      <c r="J108" s="351">
        <f t="shared" si="2"/>
        <v>0</v>
      </c>
    </row>
    <row r="109" spans="1:10" ht="26.25">
      <c r="A109" s="79" t="s">
        <v>190</v>
      </c>
      <c r="B109" s="115" t="s">
        <v>37</v>
      </c>
      <c r="C109" s="115" t="s">
        <v>178</v>
      </c>
      <c r="D109" s="183">
        <f>D110</f>
        <v>252942.5</v>
      </c>
      <c r="H109" s="183">
        <f>H110</f>
        <v>252942.5</v>
      </c>
      <c r="I109" s="183">
        <f>I110</f>
        <v>0</v>
      </c>
      <c r="J109" s="351">
        <f t="shared" si="2"/>
        <v>0</v>
      </c>
    </row>
    <row r="110" spans="1:10" ht="15.75">
      <c r="A110" s="83" t="s">
        <v>191</v>
      </c>
      <c r="B110" s="115" t="s">
        <v>37</v>
      </c>
      <c r="C110" s="115" t="s">
        <v>192</v>
      </c>
      <c r="D110" s="178">
        <f>252878.6+63.9</f>
        <v>252942.5</v>
      </c>
      <c r="E110" s="333"/>
      <c r="H110" s="178">
        <f>252878.6+63.9</f>
        <v>252942.5</v>
      </c>
      <c r="I110" s="178">
        <f>D110-H110</f>
        <v>0</v>
      </c>
      <c r="J110" s="351">
        <f t="shared" si="2"/>
        <v>0</v>
      </c>
    </row>
    <row r="111" spans="1:11" s="4" customFormat="1" ht="38.25">
      <c r="A111" s="83" t="s">
        <v>464</v>
      </c>
      <c r="B111" s="115" t="s">
        <v>416</v>
      </c>
      <c r="C111" s="115"/>
      <c r="D111" s="178">
        <f>D112</f>
        <v>17919.485</v>
      </c>
      <c r="E111" s="317"/>
      <c r="F111" s="317"/>
      <c r="G111" s="317"/>
      <c r="H111" s="178">
        <f>H112</f>
        <v>17919.5</v>
      </c>
      <c r="I111" s="178">
        <f>I112</f>
        <v>-0.014999999999417923</v>
      </c>
      <c r="J111" s="351">
        <f t="shared" si="2"/>
        <v>-0.014999999999417923</v>
      </c>
      <c r="K111" s="317"/>
    </row>
    <row r="112" spans="1:11" s="4" customFormat="1" ht="25.5">
      <c r="A112" s="83" t="s">
        <v>263</v>
      </c>
      <c r="B112" s="115" t="s">
        <v>416</v>
      </c>
      <c r="C112" s="115" t="s">
        <v>178</v>
      </c>
      <c r="D112" s="178">
        <f>D113</f>
        <v>17919.485</v>
      </c>
      <c r="E112" s="317"/>
      <c r="F112" s="317"/>
      <c r="G112" s="317"/>
      <c r="H112" s="178">
        <f>H113</f>
        <v>17919.5</v>
      </c>
      <c r="I112" s="178">
        <f>I113</f>
        <v>-0.014999999999417923</v>
      </c>
      <c r="J112" s="351">
        <f t="shared" si="2"/>
        <v>-0.014999999999417923</v>
      </c>
      <c r="K112" s="317"/>
    </row>
    <row r="113" spans="1:11" s="4" customFormat="1" ht="12.75">
      <c r="A113" s="83" t="s">
        <v>191</v>
      </c>
      <c r="B113" s="115" t="s">
        <v>416</v>
      </c>
      <c r="C113" s="115" t="s">
        <v>192</v>
      </c>
      <c r="D113" s="178">
        <v>17919.485</v>
      </c>
      <c r="E113" s="317"/>
      <c r="F113" s="317"/>
      <c r="G113" s="317"/>
      <c r="H113" s="178">
        <f>16750.5+16.8+1151+1.2</f>
        <v>17919.5</v>
      </c>
      <c r="I113" s="178">
        <f>D113-H113</f>
        <v>-0.014999999999417923</v>
      </c>
      <c r="J113" s="351">
        <f t="shared" si="2"/>
        <v>-0.014999999999417923</v>
      </c>
      <c r="K113" s="317"/>
    </row>
    <row r="114" spans="1:11" s="4" customFormat="1" ht="63.75">
      <c r="A114" s="146" t="s">
        <v>552</v>
      </c>
      <c r="B114" s="115" t="s">
        <v>414</v>
      </c>
      <c r="C114" s="115"/>
      <c r="D114" s="178">
        <f>D115</f>
        <v>49.647</v>
      </c>
      <c r="E114" s="317"/>
      <c r="F114" s="317"/>
      <c r="G114" s="317"/>
      <c r="H114" s="178">
        <f>H115</f>
        <v>50</v>
      </c>
      <c r="I114" s="178">
        <f>I115</f>
        <v>-0.35300000000000153</v>
      </c>
      <c r="J114" s="351">
        <f t="shared" si="2"/>
        <v>-0.35300000000000153</v>
      </c>
      <c r="K114" s="317"/>
    </row>
    <row r="115" spans="1:11" s="4" customFormat="1" ht="25.5">
      <c r="A115" s="83" t="s">
        <v>263</v>
      </c>
      <c r="B115" s="115" t="s">
        <v>414</v>
      </c>
      <c r="C115" s="115" t="s">
        <v>178</v>
      </c>
      <c r="D115" s="178">
        <f>D116</f>
        <v>49.647</v>
      </c>
      <c r="E115" s="317"/>
      <c r="F115" s="317"/>
      <c r="G115" s="317"/>
      <c r="H115" s="178">
        <f>H116</f>
        <v>50</v>
      </c>
      <c r="I115" s="178">
        <f>I116</f>
        <v>-0.35300000000000153</v>
      </c>
      <c r="J115" s="351">
        <f t="shared" si="2"/>
        <v>-0.35300000000000153</v>
      </c>
      <c r="K115" s="317"/>
    </row>
    <row r="116" spans="1:11" s="4" customFormat="1" ht="12.75">
      <c r="A116" s="83" t="s">
        <v>191</v>
      </c>
      <c r="B116" s="115" t="s">
        <v>414</v>
      </c>
      <c r="C116" s="115" t="s">
        <v>192</v>
      </c>
      <c r="D116" s="178">
        <v>49.647</v>
      </c>
      <c r="E116" s="317"/>
      <c r="F116" s="317"/>
      <c r="G116" s="317"/>
      <c r="H116" s="178">
        <v>50</v>
      </c>
      <c r="I116" s="178">
        <f>D116-H116</f>
        <v>-0.35300000000000153</v>
      </c>
      <c r="J116" s="351">
        <f t="shared" si="2"/>
        <v>-0.35300000000000153</v>
      </c>
      <c r="K116" s="317"/>
    </row>
    <row r="117" spans="1:11" s="4" customFormat="1" ht="38.25">
      <c r="A117" s="83" t="s">
        <v>466</v>
      </c>
      <c r="B117" s="115" t="s">
        <v>356</v>
      </c>
      <c r="C117" s="115"/>
      <c r="D117" s="178">
        <f>D118</f>
        <v>1779.904</v>
      </c>
      <c r="E117" s="317"/>
      <c r="F117" s="317"/>
      <c r="G117" s="317"/>
      <c r="H117" s="178">
        <f>H118</f>
        <v>1779.952</v>
      </c>
      <c r="I117" s="178">
        <f>I118</f>
        <v>-0.04800000000000182</v>
      </c>
      <c r="J117" s="351">
        <f t="shared" si="2"/>
        <v>-0.04800000000000182</v>
      </c>
      <c r="K117" s="317"/>
    </row>
    <row r="118" spans="1:11" s="4" customFormat="1" ht="25.5">
      <c r="A118" s="79" t="s">
        <v>190</v>
      </c>
      <c r="B118" s="115" t="s">
        <v>356</v>
      </c>
      <c r="C118" s="115" t="s">
        <v>178</v>
      </c>
      <c r="D118" s="178">
        <f>D119</f>
        <v>1779.904</v>
      </c>
      <c r="E118" s="317"/>
      <c r="F118" s="317"/>
      <c r="G118" s="317"/>
      <c r="H118" s="178">
        <f>H119</f>
        <v>1779.952</v>
      </c>
      <c r="I118" s="178">
        <f>I119</f>
        <v>-0.04800000000000182</v>
      </c>
      <c r="J118" s="351">
        <f t="shared" si="2"/>
        <v>-0.04800000000000182</v>
      </c>
      <c r="K118" s="317"/>
    </row>
    <row r="119" spans="1:11" s="4" customFormat="1" ht="12.75">
      <c r="A119" s="83" t="s">
        <v>191</v>
      </c>
      <c r="B119" s="115" t="s">
        <v>356</v>
      </c>
      <c r="C119" s="115" t="s">
        <v>192</v>
      </c>
      <c r="D119" s="178">
        <v>1779.904</v>
      </c>
      <c r="E119" s="317"/>
      <c r="F119" s="317"/>
      <c r="G119" s="317"/>
      <c r="H119" s="178">
        <f>889.952+890</f>
        <v>1779.952</v>
      </c>
      <c r="I119" s="178">
        <f>D119-H119</f>
        <v>-0.04800000000000182</v>
      </c>
      <c r="J119" s="351">
        <f t="shared" si="2"/>
        <v>-0.04800000000000182</v>
      </c>
      <c r="K119" s="317"/>
    </row>
    <row r="120" spans="1:11" s="4" customFormat="1" ht="38.25">
      <c r="A120" s="83" t="s">
        <v>339</v>
      </c>
      <c r="B120" s="115" t="s">
        <v>338</v>
      </c>
      <c r="C120" s="115"/>
      <c r="D120" s="178">
        <f>D121</f>
        <v>16.4</v>
      </c>
      <c r="E120" s="317"/>
      <c r="F120" s="317"/>
      <c r="G120" s="317"/>
      <c r="H120" s="178">
        <f>H121</f>
        <v>16</v>
      </c>
      <c r="I120" s="178">
        <f>I121</f>
        <v>0.3999999999999986</v>
      </c>
      <c r="J120" s="351">
        <f t="shared" si="2"/>
        <v>0.3999999999999986</v>
      </c>
      <c r="K120" s="317"/>
    </row>
    <row r="121" spans="1:11" s="4" customFormat="1" ht="25.5">
      <c r="A121" s="83" t="s">
        <v>263</v>
      </c>
      <c r="B121" s="115" t="s">
        <v>338</v>
      </c>
      <c r="C121" s="115" t="s">
        <v>178</v>
      </c>
      <c r="D121" s="178">
        <f>D122</f>
        <v>16.4</v>
      </c>
      <c r="E121" s="317"/>
      <c r="F121" s="317"/>
      <c r="G121" s="317"/>
      <c r="H121" s="178">
        <f>H122</f>
        <v>16</v>
      </c>
      <c r="I121" s="178">
        <f>I122</f>
        <v>0.3999999999999986</v>
      </c>
      <c r="J121" s="351">
        <f t="shared" si="2"/>
        <v>0.3999999999999986</v>
      </c>
      <c r="K121" s="317"/>
    </row>
    <row r="122" spans="1:11" s="4" customFormat="1" ht="12.75">
      <c r="A122" s="83" t="s">
        <v>191</v>
      </c>
      <c r="B122" s="115" t="s">
        <v>338</v>
      </c>
      <c r="C122" s="115" t="s">
        <v>192</v>
      </c>
      <c r="D122" s="178">
        <v>16.4</v>
      </c>
      <c r="E122" s="317"/>
      <c r="F122" s="317"/>
      <c r="G122" s="317"/>
      <c r="H122" s="178">
        <f>14.1+1.1+0.8</f>
        <v>16</v>
      </c>
      <c r="I122" s="178">
        <f>D122-H122</f>
        <v>0.3999999999999986</v>
      </c>
      <c r="J122" s="351">
        <f t="shared" si="2"/>
        <v>0.3999999999999986</v>
      </c>
      <c r="K122" s="317"/>
    </row>
    <row r="123" spans="1:11" s="4" customFormat="1" ht="25.5">
      <c r="A123" s="83" t="s">
        <v>313</v>
      </c>
      <c r="B123" s="115" t="s">
        <v>314</v>
      </c>
      <c r="C123" s="115"/>
      <c r="D123" s="178">
        <f>D124</f>
        <v>55</v>
      </c>
      <c r="E123" s="317"/>
      <c r="F123" s="317"/>
      <c r="G123" s="317"/>
      <c r="H123" s="178">
        <f>H124</f>
        <v>55</v>
      </c>
      <c r="I123" s="178">
        <f>I124</f>
        <v>0</v>
      </c>
      <c r="J123" s="351">
        <f t="shared" si="2"/>
        <v>0</v>
      </c>
      <c r="K123" s="317"/>
    </row>
    <row r="124" spans="1:11" s="4" customFormat="1" ht="25.5">
      <c r="A124" s="79" t="s">
        <v>190</v>
      </c>
      <c r="B124" s="115" t="s">
        <v>314</v>
      </c>
      <c r="C124" s="115" t="s">
        <v>178</v>
      </c>
      <c r="D124" s="178">
        <f>D125</f>
        <v>55</v>
      </c>
      <c r="E124" s="317"/>
      <c r="F124" s="317"/>
      <c r="G124" s="317"/>
      <c r="H124" s="178">
        <f>H125</f>
        <v>55</v>
      </c>
      <c r="I124" s="178">
        <f>I125</f>
        <v>0</v>
      </c>
      <c r="J124" s="351">
        <f t="shared" si="2"/>
        <v>0</v>
      </c>
      <c r="K124" s="317"/>
    </row>
    <row r="125" spans="1:11" s="1" customFormat="1" ht="12.75">
      <c r="A125" s="83" t="s">
        <v>191</v>
      </c>
      <c r="B125" s="115" t="s">
        <v>314</v>
      </c>
      <c r="C125" s="115" t="s">
        <v>192</v>
      </c>
      <c r="D125" s="178">
        <v>55</v>
      </c>
      <c r="E125" s="316"/>
      <c r="F125" s="316"/>
      <c r="G125" s="316"/>
      <c r="H125" s="178">
        <v>55</v>
      </c>
      <c r="I125" s="178">
        <f>D125-H125</f>
        <v>0</v>
      </c>
      <c r="J125" s="351">
        <f t="shared" si="2"/>
        <v>0</v>
      </c>
      <c r="K125" s="316"/>
    </row>
    <row r="126" spans="1:11" s="1" customFormat="1" ht="25.5">
      <c r="A126" s="83" t="s">
        <v>358</v>
      </c>
      <c r="B126" s="115" t="s">
        <v>357</v>
      </c>
      <c r="C126" s="115"/>
      <c r="D126" s="178">
        <f>D127</f>
        <v>27.6</v>
      </c>
      <c r="E126" s="316"/>
      <c r="F126" s="316"/>
      <c r="G126" s="316"/>
      <c r="H126" s="178">
        <f>H127</f>
        <v>27.6</v>
      </c>
      <c r="I126" s="178">
        <f>I127</f>
        <v>0</v>
      </c>
      <c r="J126" s="351">
        <f t="shared" si="2"/>
        <v>0</v>
      </c>
      <c r="K126" s="316"/>
    </row>
    <row r="127" spans="1:11" s="1" customFormat="1" ht="25.5">
      <c r="A127" s="79" t="s">
        <v>190</v>
      </c>
      <c r="B127" s="115" t="s">
        <v>357</v>
      </c>
      <c r="C127" s="115" t="s">
        <v>178</v>
      </c>
      <c r="D127" s="178">
        <f>D128</f>
        <v>27.6</v>
      </c>
      <c r="E127" s="316"/>
      <c r="F127" s="316"/>
      <c r="G127" s="316"/>
      <c r="H127" s="178">
        <f>H128</f>
        <v>27.6</v>
      </c>
      <c r="I127" s="178">
        <f>I128</f>
        <v>0</v>
      </c>
      <c r="J127" s="351">
        <f t="shared" si="2"/>
        <v>0</v>
      </c>
      <c r="K127" s="316"/>
    </row>
    <row r="128" spans="1:11" s="1" customFormat="1" ht="12.75">
      <c r="A128" s="83" t="s">
        <v>191</v>
      </c>
      <c r="B128" s="115" t="s">
        <v>357</v>
      </c>
      <c r="C128" s="115" t="s">
        <v>192</v>
      </c>
      <c r="D128" s="178">
        <v>27.6</v>
      </c>
      <c r="E128" s="316"/>
      <c r="F128" s="316"/>
      <c r="G128" s="316"/>
      <c r="H128" s="178">
        <v>27.6</v>
      </c>
      <c r="I128" s="178">
        <f>D128-H128</f>
        <v>0</v>
      </c>
      <c r="J128" s="351">
        <f t="shared" si="2"/>
        <v>0</v>
      </c>
      <c r="K128" s="316"/>
    </row>
    <row r="129" spans="1:11" s="4" customFormat="1" ht="63.75">
      <c r="A129" s="78" t="s">
        <v>470</v>
      </c>
      <c r="B129" s="115" t="s">
        <v>415</v>
      </c>
      <c r="C129" s="115"/>
      <c r="D129" s="178">
        <f>D130</f>
        <v>246.666</v>
      </c>
      <c r="E129" s="317"/>
      <c r="F129" s="317"/>
      <c r="G129" s="317"/>
      <c r="H129" s="178">
        <f>H130</f>
        <v>246.7</v>
      </c>
      <c r="I129" s="178">
        <f>I130</f>
        <v>-0.033999999999991815</v>
      </c>
      <c r="J129" s="351">
        <f t="shared" si="2"/>
        <v>-0.033999999999991815</v>
      </c>
      <c r="K129" s="317"/>
    </row>
    <row r="130" spans="1:11" s="4" customFormat="1" ht="25.5">
      <c r="A130" s="79" t="s">
        <v>190</v>
      </c>
      <c r="B130" s="115" t="s">
        <v>415</v>
      </c>
      <c r="C130" s="115" t="s">
        <v>178</v>
      </c>
      <c r="D130" s="178">
        <f>D131</f>
        <v>246.666</v>
      </c>
      <c r="E130" s="317"/>
      <c r="F130" s="317"/>
      <c r="G130" s="317"/>
      <c r="H130" s="178">
        <f>H131</f>
        <v>246.7</v>
      </c>
      <c r="I130" s="178">
        <f>I131</f>
        <v>-0.033999999999991815</v>
      </c>
      <c r="J130" s="351">
        <f t="shared" si="2"/>
        <v>-0.033999999999991815</v>
      </c>
      <c r="K130" s="317"/>
    </row>
    <row r="131" spans="1:11" s="4" customFormat="1" ht="18" customHeight="1">
      <c r="A131" s="83" t="s">
        <v>191</v>
      </c>
      <c r="B131" s="115" t="s">
        <v>415</v>
      </c>
      <c r="C131" s="115" t="s">
        <v>192</v>
      </c>
      <c r="D131" s="178">
        <v>246.666</v>
      </c>
      <c r="E131" s="317"/>
      <c r="F131" s="317"/>
      <c r="G131" s="317"/>
      <c r="H131" s="178">
        <v>246.7</v>
      </c>
      <c r="I131" s="178">
        <f>D131-H131</f>
        <v>-0.033999999999991815</v>
      </c>
      <c r="J131" s="351">
        <f t="shared" si="2"/>
        <v>-0.033999999999991815</v>
      </c>
      <c r="K131" s="317"/>
    </row>
    <row r="132" spans="1:11" s="4" customFormat="1" ht="38.25">
      <c r="A132" s="83" t="s">
        <v>251</v>
      </c>
      <c r="B132" s="115" t="s">
        <v>259</v>
      </c>
      <c r="C132" s="115"/>
      <c r="D132" s="178">
        <f>D133</f>
        <v>787.56</v>
      </c>
      <c r="E132" s="317"/>
      <c r="F132" s="317"/>
      <c r="G132" s="317"/>
      <c r="H132" s="178">
        <f>H133</f>
        <v>787.56</v>
      </c>
      <c r="I132" s="178">
        <f>I133</f>
        <v>0</v>
      </c>
      <c r="J132" s="351">
        <f t="shared" si="2"/>
        <v>0</v>
      </c>
      <c r="K132" s="317"/>
    </row>
    <row r="133" spans="1:11" s="4" customFormat="1" ht="25.5">
      <c r="A133" s="83" t="s">
        <v>190</v>
      </c>
      <c r="B133" s="115" t="s">
        <v>259</v>
      </c>
      <c r="C133" s="115" t="s">
        <v>178</v>
      </c>
      <c r="D133" s="178">
        <f>D134</f>
        <v>787.56</v>
      </c>
      <c r="E133" s="317"/>
      <c r="F133" s="317"/>
      <c r="G133" s="317"/>
      <c r="H133" s="178">
        <f>H134</f>
        <v>787.56</v>
      </c>
      <c r="I133" s="178">
        <f>I134</f>
        <v>0</v>
      </c>
      <c r="J133" s="351">
        <f t="shared" si="2"/>
        <v>0</v>
      </c>
      <c r="K133" s="317"/>
    </row>
    <row r="134" spans="1:11" s="4" customFormat="1" ht="12.75">
      <c r="A134" s="83" t="s">
        <v>191</v>
      </c>
      <c r="B134" s="115" t="s">
        <v>259</v>
      </c>
      <c r="C134" s="115" t="s">
        <v>192</v>
      </c>
      <c r="D134" s="178">
        <v>787.56</v>
      </c>
      <c r="E134" s="317"/>
      <c r="F134" s="317"/>
      <c r="G134" s="317"/>
      <c r="H134" s="178">
        <f>78.76+708.8</f>
        <v>787.56</v>
      </c>
      <c r="I134" s="178">
        <f>D134-H134</f>
        <v>0</v>
      </c>
      <c r="J134" s="351">
        <f aca="true" t="shared" si="3" ref="J134:J197">D134-H134</f>
        <v>0</v>
      </c>
      <c r="K134" s="317"/>
    </row>
    <row r="135" spans="1:11" s="1" customFormat="1" ht="25.5">
      <c r="A135" s="44" t="s">
        <v>547</v>
      </c>
      <c r="B135" s="116" t="s">
        <v>33</v>
      </c>
      <c r="C135" s="116"/>
      <c r="D135" s="184">
        <f>D136+D146+D149+D152+D155+D158+D161+D164+D139+D167+D170</f>
        <v>35418.399999999994</v>
      </c>
      <c r="E135" s="316"/>
      <c r="F135" s="316"/>
      <c r="G135" s="316"/>
      <c r="H135" s="184">
        <f>H136+H146+H149+H152+H155+H158+H161+H164+H139+H167+H170</f>
        <v>35418.399999999994</v>
      </c>
      <c r="I135" s="184">
        <f>I136+I146+I149+I152+I158+I161+I164+I139+I167+I170</f>
        <v>0</v>
      </c>
      <c r="J135" s="351">
        <f t="shared" si="3"/>
        <v>0</v>
      </c>
      <c r="K135" s="316"/>
    </row>
    <row r="136" spans="1:11" s="1" customFormat="1" ht="18.75" customHeight="1">
      <c r="A136" s="141" t="s">
        <v>106</v>
      </c>
      <c r="B136" s="117" t="s">
        <v>34</v>
      </c>
      <c r="C136" s="117"/>
      <c r="D136" s="178">
        <f>D137</f>
        <v>17938.1</v>
      </c>
      <c r="E136" s="316"/>
      <c r="F136" s="316"/>
      <c r="G136" s="316"/>
      <c r="H136" s="178">
        <f>H137</f>
        <v>17938.1</v>
      </c>
      <c r="I136" s="178">
        <f>I137</f>
        <v>0</v>
      </c>
      <c r="J136" s="351">
        <f t="shared" si="3"/>
        <v>0</v>
      </c>
      <c r="K136" s="316"/>
    </row>
    <row r="137" spans="1:11" s="1" customFormat="1" ht="25.5">
      <c r="A137" s="63" t="s">
        <v>190</v>
      </c>
      <c r="B137" s="117" t="s">
        <v>34</v>
      </c>
      <c r="C137" s="117" t="s">
        <v>178</v>
      </c>
      <c r="D137" s="178">
        <f>SUM(D138:D138)</f>
        <v>17938.1</v>
      </c>
      <c r="E137" s="316"/>
      <c r="F137" s="316"/>
      <c r="G137" s="316"/>
      <c r="H137" s="178">
        <f>SUM(H138:H138)</f>
        <v>17938.1</v>
      </c>
      <c r="I137" s="178">
        <f>SUM(I138:I138)</f>
        <v>0</v>
      </c>
      <c r="J137" s="351">
        <f t="shared" si="3"/>
        <v>0</v>
      </c>
      <c r="K137" s="316"/>
    </row>
    <row r="138" spans="1:11" s="1" customFormat="1" ht="12.75">
      <c r="A138" s="50" t="s">
        <v>195</v>
      </c>
      <c r="B138" s="117" t="s">
        <v>34</v>
      </c>
      <c r="C138" s="117" t="s">
        <v>196</v>
      </c>
      <c r="D138" s="178">
        <v>17938.1</v>
      </c>
      <c r="E138" s="316"/>
      <c r="F138" s="316"/>
      <c r="G138" s="316"/>
      <c r="H138" s="178">
        <v>17938.1</v>
      </c>
      <c r="I138" s="178">
        <f>D138-H138</f>
        <v>0</v>
      </c>
      <c r="J138" s="351">
        <f t="shared" si="3"/>
        <v>0</v>
      </c>
      <c r="K138" s="316"/>
    </row>
    <row r="139" spans="1:11" s="4" customFormat="1" ht="12.75">
      <c r="A139" s="83" t="s">
        <v>380</v>
      </c>
      <c r="B139" s="117" t="s">
        <v>379</v>
      </c>
      <c r="C139" s="117"/>
      <c r="D139" s="178">
        <f>D140+D144</f>
        <v>13277.400000000001</v>
      </c>
      <c r="E139" s="317"/>
      <c r="F139" s="317"/>
      <c r="G139" s="317"/>
      <c r="H139" s="178">
        <f>H140+H144</f>
        <v>13277.400000000001</v>
      </c>
      <c r="I139" s="178">
        <f>I140+I144</f>
        <v>0</v>
      </c>
      <c r="J139" s="351">
        <f t="shared" si="3"/>
        <v>0</v>
      </c>
      <c r="K139" s="317"/>
    </row>
    <row r="140" spans="1:11" s="4" customFormat="1" ht="25.5">
      <c r="A140" s="50" t="s">
        <v>190</v>
      </c>
      <c r="B140" s="117" t="s">
        <v>379</v>
      </c>
      <c r="C140" s="117" t="s">
        <v>178</v>
      </c>
      <c r="D140" s="178">
        <f>D141+D142+D143</f>
        <v>13133.7</v>
      </c>
      <c r="E140" s="317"/>
      <c r="F140" s="317"/>
      <c r="G140" s="317"/>
      <c r="H140" s="178">
        <f>H141+H142+H143</f>
        <v>13133.7</v>
      </c>
      <c r="I140" s="178">
        <f>I141+I142+I143</f>
        <v>0</v>
      </c>
      <c r="J140" s="351">
        <f t="shared" si="3"/>
        <v>0</v>
      </c>
      <c r="K140" s="317"/>
    </row>
    <row r="141" spans="1:11" s="4" customFormat="1" ht="12.75">
      <c r="A141" s="50" t="s">
        <v>191</v>
      </c>
      <c r="B141" s="117" t="s">
        <v>379</v>
      </c>
      <c r="C141" s="117" t="s">
        <v>192</v>
      </c>
      <c r="D141" s="178">
        <v>143.7</v>
      </c>
      <c r="E141" s="317"/>
      <c r="F141" s="317"/>
      <c r="G141" s="317"/>
      <c r="H141" s="178">
        <v>143.7</v>
      </c>
      <c r="I141" s="178">
        <f>D141-H141</f>
        <v>0</v>
      </c>
      <c r="J141" s="351">
        <f t="shared" si="3"/>
        <v>0</v>
      </c>
      <c r="K141" s="317"/>
    </row>
    <row r="142" spans="1:11" s="4" customFormat="1" ht="12.75">
      <c r="A142" s="50" t="s">
        <v>197</v>
      </c>
      <c r="B142" s="117" t="s">
        <v>379</v>
      </c>
      <c r="C142" s="117" t="s">
        <v>196</v>
      </c>
      <c r="D142" s="178">
        <v>12846.4</v>
      </c>
      <c r="E142" s="317"/>
      <c r="F142" s="317"/>
      <c r="G142" s="317"/>
      <c r="H142" s="178">
        <v>12846.4</v>
      </c>
      <c r="I142" s="178">
        <f>D142-H142</f>
        <v>0</v>
      </c>
      <c r="J142" s="351">
        <f t="shared" si="3"/>
        <v>0</v>
      </c>
      <c r="K142" s="317"/>
    </row>
    <row r="143" spans="1:11" s="4" customFormat="1" ht="25.5">
      <c r="A143" s="50" t="s">
        <v>605</v>
      </c>
      <c r="B143" s="117" t="s">
        <v>379</v>
      </c>
      <c r="C143" s="117" t="s">
        <v>203</v>
      </c>
      <c r="D143" s="178">
        <v>143.6</v>
      </c>
      <c r="E143" s="317"/>
      <c r="F143" s="317"/>
      <c r="G143" s="317"/>
      <c r="H143" s="178">
        <v>143.6</v>
      </c>
      <c r="I143" s="178">
        <f>D143-H143</f>
        <v>0</v>
      </c>
      <c r="J143" s="351">
        <f t="shared" si="3"/>
        <v>0</v>
      </c>
      <c r="K143" s="317"/>
    </row>
    <row r="144" spans="1:11" s="4" customFormat="1" ht="12.75">
      <c r="A144" s="50" t="s">
        <v>90</v>
      </c>
      <c r="B144" s="117" t="s">
        <v>379</v>
      </c>
      <c r="C144" s="117" t="s">
        <v>87</v>
      </c>
      <c r="D144" s="178">
        <f>D145</f>
        <v>143.7</v>
      </c>
      <c r="E144" s="317"/>
      <c r="F144" s="317"/>
      <c r="G144" s="317"/>
      <c r="H144" s="178">
        <f>H145</f>
        <v>143.7</v>
      </c>
      <c r="I144" s="178">
        <f>I145</f>
        <v>0</v>
      </c>
      <c r="J144" s="351">
        <f t="shared" si="3"/>
        <v>0</v>
      </c>
      <c r="K144" s="317"/>
    </row>
    <row r="145" spans="1:11" s="4" customFormat="1" ht="25.5">
      <c r="A145" s="50" t="s">
        <v>228</v>
      </c>
      <c r="B145" s="117" t="s">
        <v>379</v>
      </c>
      <c r="C145" s="117" t="s">
        <v>88</v>
      </c>
      <c r="D145" s="178">
        <v>143.7</v>
      </c>
      <c r="E145" s="317"/>
      <c r="F145" s="317"/>
      <c r="G145" s="317"/>
      <c r="H145" s="178">
        <v>143.7</v>
      </c>
      <c r="I145" s="178">
        <f>D145-H145</f>
        <v>0</v>
      </c>
      <c r="J145" s="351">
        <f t="shared" si="3"/>
        <v>0</v>
      </c>
      <c r="K145" s="317"/>
    </row>
    <row r="146" spans="1:11" s="1" customFormat="1" ht="25.5">
      <c r="A146" s="304" t="s">
        <v>632</v>
      </c>
      <c r="B146" s="117" t="s">
        <v>606</v>
      </c>
      <c r="C146" s="117"/>
      <c r="D146" s="178">
        <f>D147</f>
        <v>354.8</v>
      </c>
      <c r="E146" s="316"/>
      <c r="F146" s="316"/>
      <c r="G146" s="316"/>
      <c r="H146" s="178">
        <f>H147</f>
        <v>354.8</v>
      </c>
      <c r="I146" s="178">
        <f>I147</f>
        <v>0</v>
      </c>
      <c r="J146" s="351">
        <f t="shared" si="3"/>
        <v>0</v>
      </c>
      <c r="K146" s="316"/>
    </row>
    <row r="147" spans="1:11" s="1" customFormat="1" ht="25.5">
      <c r="A147" s="63" t="s">
        <v>190</v>
      </c>
      <c r="B147" s="117" t="s">
        <v>606</v>
      </c>
      <c r="C147" s="117" t="s">
        <v>178</v>
      </c>
      <c r="D147" s="178">
        <f>D148</f>
        <v>354.8</v>
      </c>
      <c r="E147" s="316"/>
      <c r="F147" s="316"/>
      <c r="G147" s="316"/>
      <c r="H147" s="178">
        <f>H148</f>
        <v>354.8</v>
      </c>
      <c r="I147" s="178">
        <f>I148</f>
        <v>0</v>
      </c>
      <c r="J147" s="351">
        <f t="shared" si="3"/>
        <v>0</v>
      </c>
      <c r="K147" s="316"/>
    </row>
    <row r="148" spans="1:11" s="1" customFormat="1" ht="12.75">
      <c r="A148" s="50" t="s">
        <v>195</v>
      </c>
      <c r="B148" s="117" t="s">
        <v>606</v>
      </c>
      <c r="C148" s="117" t="s">
        <v>196</v>
      </c>
      <c r="D148" s="178">
        <v>354.8</v>
      </c>
      <c r="E148" s="316"/>
      <c r="F148" s="316"/>
      <c r="G148" s="316"/>
      <c r="H148" s="178">
        <v>354.8</v>
      </c>
      <c r="I148" s="178">
        <f>D148-H148</f>
        <v>0</v>
      </c>
      <c r="J148" s="351">
        <f t="shared" si="3"/>
        <v>0</v>
      </c>
      <c r="K148" s="316"/>
    </row>
    <row r="149" spans="1:11" s="1" customFormat="1" ht="12.75">
      <c r="A149" s="71" t="s">
        <v>216</v>
      </c>
      <c r="B149" s="117" t="s">
        <v>218</v>
      </c>
      <c r="C149" s="117"/>
      <c r="D149" s="178">
        <f>D150</f>
        <v>125</v>
      </c>
      <c r="E149" s="316"/>
      <c r="F149" s="316"/>
      <c r="G149" s="316"/>
      <c r="H149" s="178">
        <f>H150</f>
        <v>125</v>
      </c>
      <c r="I149" s="178">
        <f>I150</f>
        <v>0</v>
      </c>
      <c r="J149" s="351">
        <f t="shared" si="3"/>
        <v>0</v>
      </c>
      <c r="K149" s="316"/>
    </row>
    <row r="150" spans="1:11" s="1" customFormat="1" ht="25.5">
      <c r="A150" s="63" t="s">
        <v>190</v>
      </c>
      <c r="B150" s="117" t="s">
        <v>218</v>
      </c>
      <c r="C150" s="117" t="s">
        <v>178</v>
      </c>
      <c r="D150" s="178">
        <f>D151</f>
        <v>125</v>
      </c>
      <c r="E150" s="316"/>
      <c r="F150" s="316"/>
      <c r="G150" s="316"/>
      <c r="H150" s="178">
        <f>H151</f>
        <v>125</v>
      </c>
      <c r="I150" s="178">
        <f>I151</f>
        <v>0</v>
      </c>
      <c r="J150" s="351">
        <f t="shared" si="3"/>
        <v>0</v>
      </c>
      <c r="K150" s="316"/>
    </row>
    <row r="151" spans="1:11" s="1" customFormat="1" ht="12.75">
      <c r="A151" s="50" t="s">
        <v>195</v>
      </c>
      <c r="B151" s="117" t="s">
        <v>218</v>
      </c>
      <c r="C151" s="117" t="s">
        <v>196</v>
      </c>
      <c r="D151" s="178">
        <v>125</v>
      </c>
      <c r="E151" s="316"/>
      <c r="F151" s="316"/>
      <c r="G151" s="316"/>
      <c r="H151" s="178">
        <v>125</v>
      </c>
      <c r="I151" s="178">
        <f>D151-H151</f>
        <v>0</v>
      </c>
      <c r="J151" s="351">
        <f t="shared" si="3"/>
        <v>0</v>
      </c>
      <c r="K151" s="316"/>
    </row>
    <row r="152" spans="1:11" s="1" customFormat="1" ht="12.75">
      <c r="A152" s="50" t="s">
        <v>105</v>
      </c>
      <c r="B152" s="117" t="s">
        <v>319</v>
      </c>
      <c r="C152" s="117"/>
      <c r="D152" s="178">
        <f>D153</f>
        <v>20</v>
      </c>
      <c r="E152" s="316"/>
      <c r="F152" s="316"/>
      <c r="G152" s="316"/>
      <c r="H152" s="178">
        <f>H153</f>
        <v>20</v>
      </c>
      <c r="I152" s="178">
        <f>I153</f>
        <v>0</v>
      </c>
      <c r="J152" s="351">
        <f t="shared" si="3"/>
        <v>0</v>
      </c>
      <c r="K152" s="316"/>
    </row>
    <row r="153" spans="1:11" s="1" customFormat="1" ht="25.5">
      <c r="A153" s="63" t="s">
        <v>190</v>
      </c>
      <c r="B153" s="117" t="s">
        <v>319</v>
      </c>
      <c r="C153" s="117" t="s">
        <v>178</v>
      </c>
      <c r="D153" s="178">
        <f>D154</f>
        <v>20</v>
      </c>
      <c r="E153" s="316"/>
      <c r="F153" s="316"/>
      <c r="G153" s="316"/>
      <c r="H153" s="178">
        <f>H154</f>
        <v>20</v>
      </c>
      <c r="I153" s="178">
        <f>I154</f>
        <v>0</v>
      </c>
      <c r="J153" s="351">
        <f t="shared" si="3"/>
        <v>0</v>
      </c>
      <c r="K153" s="316"/>
    </row>
    <row r="154" spans="1:11" s="1" customFormat="1" ht="12.75">
      <c r="A154" s="50" t="s">
        <v>195</v>
      </c>
      <c r="B154" s="117" t="s">
        <v>319</v>
      </c>
      <c r="C154" s="117" t="s">
        <v>196</v>
      </c>
      <c r="D154" s="178">
        <v>20</v>
      </c>
      <c r="E154" s="316"/>
      <c r="F154" s="316"/>
      <c r="G154" s="316"/>
      <c r="H154" s="178">
        <v>20</v>
      </c>
      <c r="I154" s="178">
        <f>D154-H154</f>
        <v>0</v>
      </c>
      <c r="J154" s="351">
        <f t="shared" si="3"/>
        <v>0</v>
      </c>
      <c r="K154" s="316"/>
    </row>
    <row r="155" spans="1:11" s="1" customFormat="1" ht="12.75">
      <c r="A155" s="84" t="s">
        <v>701</v>
      </c>
      <c r="B155" s="117" t="s">
        <v>700</v>
      </c>
      <c r="C155" s="117"/>
      <c r="D155" s="178">
        <f>D156</f>
        <v>3000</v>
      </c>
      <c r="E155" s="316"/>
      <c r="F155" s="316"/>
      <c r="G155" s="316"/>
      <c r="H155" s="178">
        <f>H156</f>
        <v>3000</v>
      </c>
      <c r="I155" s="178">
        <f>I156</f>
        <v>0</v>
      </c>
      <c r="J155" s="351">
        <f t="shared" si="3"/>
        <v>0</v>
      </c>
      <c r="K155" s="316"/>
    </row>
    <row r="156" spans="1:11" s="1" customFormat="1" ht="25.5">
      <c r="A156" s="63" t="s">
        <v>190</v>
      </c>
      <c r="B156" s="117" t="s">
        <v>700</v>
      </c>
      <c r="C156" s="117" t="s">
        <v>178</v>
      </c>
      <c r="D156" s="178">
        <f>D157</f>
        <v>3000</v>
      </c>
      <c r="E156" s="316"/>
      <c r="F156" s="316"/>
      <c r="G156" s="316"/>
      <c r="H156" s="178">
        <f>H157</f>
        <v>3000</v>
      </c>
      <c r="I156" s="178">
        <f>I157</f>
        <v>0</v>
      </c>
      <c r="J156" s="351">
        <f t="shared" si="3"/>
        <v>0</v>
      </c>
      <c r="K156" s="316"/>
    </row>
    <row r="157" spans="1:11" s="1" customFormat="1" ht="12.75">
      <c r="A157" s="87" t="s">
        <v>197</v>
      </c>
      <c r="B157" s="117" t="s">
        <v>700</v>
      </c>
      <c r="C157" s="117" t="s">
        <v>196</v>
      </c>
      <c r="D157" s="178">
        <v>3000</v>
      </c>
      <c r="E157" s="316"/>
      <c r="F157" s="316"/>
      <c r="G157" s="316"/>
      <c r="H157" s="178">
        <v>3000</v>
      </c>
      <c r="I157" s="178">
        <f>D157-H157</f>
        <v>0</v>
      </c>
      <c r="J157" s="351">
        <f t="shared" si="3"/>
        <v>0</v>
      </c>
      <c r="K157" s="316"/>
    </row>
    <row r="158" spans="1:10" ht="25.5">
      <c r="A158" s="84" t="s">
        <v>267</v>
      </c>
      <c r="B158" s="117" t="s">
        <v>359</v>
      </c>
      <c r="C158" s="117"/>
      <c r="D158" s="178">
        <f>D159</f>
        <v>36</v>
      </c>
      <c r="H158" s="178">
        <f>H159</f>
        <v>36</v>
      </c>
      <c r="I158" s="178">
        <f>I159</f>
        <v>0</v>
      </c>
      <c r="J158" s="351">
        <f t="shared" si="3"/>
        <v>0</v>
      </c>
    </row>
    <row r="159" spans="1:10" ht="26.25">
      <c r="A159" s="63" t="s">
        <v>190</v>
      </c>
      <c r="B159" s="117" t="s">
        <v>359</v>
      </c>
      <c r="C159" s="117" t="s">
        <v>178</v>
      </c>
      <c r="D159" s="178">
        <f>D160</f>
        <v>36</v>
      </c>
      <c r="H159" s="178">
        <f>H160</f>
        <v>36</v>
      </c>
      <c r="I159" s="178">
        <f>I160</f>
        <v>0</v>
      </c>
      <c r="J159" s="351">
        <f t="shared" si="3"/>
        <v>0</v>
      </c>
    </row>
    <row r="160" spans="1:10" ht="15.75">
      <c r="A160" s="50" t="s">
        <v>197</v>
      </c>
      <c r="B160" s="117" t="s">
        <v>359</v>
      </c>
      <c r="C160" s="117" t="s">
        <v>196</v>
      </c>
      <c r="D160" s="178">
        <v>36</v>
      </c>
      <c r="H160" s="178">
        <v>36</v>
      </c>
      <c r="I160" s="178">
        <f>D160-H160</f>
        <v>0</v>
      </c>
      <c r="J160" s="351">
        <f t="shared" si="3"/>
        <v>0</v>
      </c>
    </row>
    <row r="161" spans="1:11" s="1" customFormat="1" ht="12.75">
      <c r="A161" s="71" t="s">
        <v>268</v>
      </c>
      <c r="B161" s="117" t="s">
        <v>35</v>
      </c>
      <c r="C161" s="117"/>
      <c r="D161" s="178">
        <f>D162</f>
        <v>135.6</v>
      </c>
      <c r="E161" s="316"/>
      <c r="F161" s="316"/>
      <c r="G161" s="316"/>
      <c r="H161" s="178">
        <f>H162</f>
        <v>135.6</v>
      </c>
      <c r="I161" s="178">
        <f>I162</f>
        <v>0</v>
      </c>
      <c r="J161" s="351">
        <f t="shared" si="3"/>
        <v>0</v>
      </c>
      <c r="K161" s="316"/>
    </row>
    <row r="162" spans="1:11" s="1" customFormat="1" ht="25.5">
      <c r="A162" s="63" t="s">
        <v>190</v>
      </c>
      <c r="B162" s="117" t="s">
        <v>35</v>
      </c>
      <c r="C162" s="117" t="s">
        <v>178</v>
      </c>
      <c r="D162" s="178">
        <f>SUM(D163:D163)</f>
        <v>135.6</v>
      </c>
      <c r="E162" s="316"/>
      <c r="F162" s="316"/>
      <c r="G162" s="316"/>
      <c r="H162" s="178">
        <f>SUM(H163:H163)</f>
        <v>135.6</v>
      </c>
      <c r="I162" s="178">
        <f>SUM(I163:I163)</f>
        <v>0</v>
      </c>
      <c r="J162" s="351">
        <f t="shared" si="3"/>
        <v>0</v>
      </c>
      <c r="K162" s="316"/>
    </row>
    <row r="163" spans="1:11" s="4" customFormat="1" ht="12.75">
      <c r="A163" s="50" t="s">
        <v>195</v>
      </c>
      <c r="B163" s="117" t="s">
        <v>35</v>
      </c>
      <c r="C163" s="117" t="s">
        <v>196</v>
      </c>
      <c r="D163" s="178">
        <v>135.6</v>
      </c>
      <c r="E163" s="317"/>
      <c r="F163" s="317"/>
      <c r="G163" s="317"/>
      <c r="H163" s="178">
        <v>135.6</v>
      </c>
      <c r="I163" s="178">
        <f>D163-H163</f>
        <v>0</v>
      </c>
      <c r="J163" s="351">
        <f t="shared" si="3"/>
        <v>0</v>
      </c>
      <c r="K163" s="317"/>
    </row>
    <row r="164" spans="1:11" s="4" customFormat="1" ht="12.75">
      <c r="A164" s="71" t="s">
        <v>269</v>
      </c>
      <c r="B164" s="117" t="s">
        <v>36</v>
      </c>
      <c r="C164" s="117"/>
      <c r="D164" s="178">
        <f>D165</f>
        <v>150</v>
      </c>
      <c r="E164" s="317"/>
      <c r="F164" s="317"/>
      <c r="G164" s="317"/>
      <c r="H164" s="178">
        <f>H165</f>
        <v>150</v>
      </c>
      <c r="I164" s="178">
        <f>I165</f>
        <v>0</v>
      </c>
      <c r="J164" s="351">
        <f t="shared" si="3"/>
        <v>0</v>
      </c>
      <c r="K164" s="317"/>
    </row>
    <row r="165" spans="1:11" s="4" customFormat="1" ht="25.5">
      <c r="A165" s="63" t="s">
        <v>190</v>
      </c>
      <c r="B165" s="117" t="s">
        <v>36</v>
      </c>
      <c r="C165" s="117" t="s">
        <v>178</v>
      </c>
      <c r="D165" s="178">
        <f>SUM(D166:D166)</f>
        <v>150</v>
      </c>
      <c r="E165" s="317"/>
      <c r="F165" s="317"/>
      <c r="G165" s="317"/>
      <c r="H165" s="178">
        <f>SUM(H166:H166)</f>
        <v>150</v>
      </c>
      <c r="I165" s="178">
        <f>SUM(I166:I166)</f>
        <v>0</v>
      </c>
      <c r="J165" s="351">
        <f t="shared" si="3"/>
        <v>0</v>
      </c>
      <c r="K165" s="317"/>
    </row>
    <row r="166" spans="1:11" s="4" customFormat="1" ht="12.75">
      <c r="A166" s="50" t="s">
        <v>195</v>
      </c>
      <c r="B166" s="117" t="s">
        <v>36</v>
      </c>
      <c r="C166" s="117" t="s">
        <v>196</v>
      </c>
      <c r="D166" s="178">
        <v>150</v>
      </c>
      <c r="E166" s="317"/>
      <c r="F166" s="317"/>
      <c r="G166" s="317"/>
      <c r="H166" s="178">
        <v>150</v>
      </c>
      <c r="I166" s="178">
        <f>D166-H166</f>
        <v>0</v>
      </c>
      <c r="J166" s="351">
        <f t="shared" si="3"/>
        <v>0</v>
      </c>
      <c r="K166" s="317"/>
    </row>
    <row r="167" spans="1:11" s="4" customFormat="1" ht="63.75">
      <c r="A167" s="146" t="s">
        <v>552</v>
      </c>
      <c r="B167" s="115" t="s">
        <v>418</v>
      </c>
      <c r="C167" s="115"/>
      <c r="D167" s="178">
        <f>D168</f>
        <v>50</v>
      </c>
      <c r="E167" s="317"/>
      <c r="F167" s="317"/>
      <c r="G167" s="317"/>
      <c r="H167" s="178">
        <f>H168</f>
        <v>50</v>
      </c>
      <c r="I167" s="178">
        <f>I168</f>
        <v>0</v>
      </c>
      <c r="J167" s="351">
        <f t="shared" si="3"/>
        <v>0</v>
      </c>
      <c r="K167" s="317"/>
    </row>
    <row r="168" spans="1:11" s="4" customFormat="1" ht="25.5">
      <c r="A168" s="83" t="s">
        <v>263</v>
      </c>
      <c r="B168" s="115" t="s">
        <v>418</v>
      </c>
      <c r="C168" s="115" t="s">
        <v>178</v>
      </c>
      <c r="D168" s="178">
        <f>D169</f>
        <v>50</v>
      </c>
      <c r="E168" s="317"/>
      <c r="F168" s="317"/>
      <c r="G168" s="317"/>
      <c r="H168" s="178">
        <f>H169</f>
        <v>50</v>
      </c>
      <c r="I168" s="178">
        <f>I169</f>
        <v>0</v>
      </c>
      <c r="J168" s="351">
        <f t="shared" si="3"/>
        <v>0</v>
      </c>
      <c r="K168" s="317"/>
    </row>
    <row r="169" spans="1:11" s="4" customFormat="1" ht="12.75">
      <c r="A169" s="83" t="s">
        <v>191</v>
      </c>
      <c r="B169" s="115" t="s">
        <v>418</v>
      </c>
      <c r="C169" s="115" t="s">
        <v>196</v>
      </c>
      <c r="D169" s="178">
        <v>50</v>
      </c>
      <c r="E169" s="317"/>
      <c r="F169" s="317"/>
      <c r="G169" s="317"/>
      <c r="H169" s="178">
        <v>50</v>
      </c>
      <c r="I169" s="178">
        <f>D169-H169</f>
        <v>0</v>
      </c>
      <c r="J169" s="351">
        <f t="shared" si="3"/>
        <v>0</v>
      </c>
      <c r="K169" s="317"/>
    </row>
    <row r="170" spans="1:11" s="4" customFormat="1" ht="38.25">
      <c r="A170" s="83" t="s">
        <v>595</v>
      </c>
      <c r="B170" s="115" t="s">
        <v>607</v>
      </c>
      <c r="C170" s="115"/>
      <c r="D170" s="178">
        <f>D171</f>
        <v>331.5</v>
      </c>
      <c r="E170" s="317"/>
      <c r="F170" s="317"/>
      <c r="G170" s="317"/>
      <c r="H170" s="178">
        <f>H171</f>
        <v>331.5</v>
      </c>
      <c r="I170" s="178">
        <f>I171</f>
        <v>0</v>
      </c>
      <c r="J170" s="351">
        <f t="shared" si="3"/>
        <v>0</v>
      </c>
      <c r="K170" s="317"/>
    </row>
    <row r="171" spans="1:11" s="4" customFormat="1" ht="25.5">
      <c r="A171" s="83" t="s">
        <v>263</v>
      </c>
      <c r="B171" s="115" t="s">
        <v>607</v>
      </c>
      <c r="C171" s="115" t="s">
        <v>178</v>
      </c>
      <c r="D171" s="178">
        <f>D172</f>
        <v>331.5</v>
      </c>
      <c r="E171" s="317"/>
      <c r="F171" s="317"/>
      <c r="G171" s="317"/>
      <c r="H171" s="178">
        <f>H172</f>
        <v>331.5</v>
      </c>
      <c r="I171" s="178">
        <f>I172</f>
        <v>0</v>
      </c>
      <c r="J171" s="351">
        <f t="shared" si="3"/>
        <v>0</v>
      </c>
      <c r="K171" s="317"/>
    </row>
    <row r="172" spans="1:11" s="4" customFormat="1" ht="12.75">
      <c r="A172" s="50" t="s">
        <v>195</v>
      </c>
      <c r="B172" s="115" t="s">
        <v>607</v>
      </c>
      <c r="C172" s="115" t="s">
        <v>196</v>
      </c>
      <c r="D172" s="178">
        <v>331.5</v>
      </c>
      <c r="E172" s="317"/>
      <c r="F172" s="317"/>
      <c r="G172" s="317"/>
      <c r="H172" s="178">
        <v>331.5</v>
      </c>
      <c r="I172" s="178">
        <f>D172-H172</f>
        <v>0</v>
      </c>
      <c r="J172" s="351">
        <f t="shared" si="3"/>
        <v>0</v>
      </c>
      <c r="K172" s="317"/>
    </row>
    <row r="173" spans="1:11" s="1" customFormat="1" ht="25.5">
      <c r="A173" s="44" t="s">
        <v>548</v>
      </c>
      <c r="B173" s="116" t="s">
        <v>377</v>
      </c>
      <c r="C173" s="117"/>
      <c r="D173" s="182">
        <f>D174+D179</f>
        <v>16292.4</v>
      </c>
      <c r="E173" s="316"/>
      <c r="F173" s="316"/>
      <c r="G173" s="316"/>
      <c r="H173" s="182">
        <f>H174+H179</f>
        <v>16292.4</v>
      </c>
      <c r="I173" s="182">
        <f>I174+I179</f>
        <v>0</v>
      </c>
      <c r="J173" s="351">
        <f t="shared" si="3"/>
        <v>0</v>
      </c>
      <c r="K173" s="316"/>
    </row>
    <row r="174" spans="1:11" s="1" customFormat="1" ht="12.75">
      <c r="A174" s="50" t="s">
        <v>115</v>
      </c>
      <c r="B174" s="117" t="s">
        <v>376</v>
      </c>
      <c r="C174" s="117"/>
      <c r="D174" s="186">
        <f>D175+D177</f>
        <v>15892.4</v>
      </c>
      <c r="E174" s="316"/>
      <c r="F174" s="316"/>
      <c r="G174" s="316"/>
      <c r="H174" s="186">
        <f>H175+H177</f>
        <v>15892.4</v>
      </c>
      <c r="I174" s="186">
        <f>I175+I177</f>
        <v>0</v>
      </c>
      <c r="J174" s="351">
        <f t="shared" si="3"/>
        <v>0</v>
      </c>
      <c r="K174" s="316"/>
    </row>
    <row r="175" spans="1:11" s="1" customFormat="1" ht="38.25">
      <c r="A175" s="60" t="s">
        <v>116</v>
      </c>
      <c r="B175" s="117" t="s">
        <v>376</v>
      </c>
      <c r="C175" s="117" t="s">
        <v>198</v>
      </c>
      <c r="D175" s="186">
        <f>D176</f>
        <v>15340.699999999999</v>
      </c>
      <c r="E175" s="316"/>
      <c r="F175" s="316"/>
      <c r="G175" s="316"/>
      <c r="H175" s="186">
        <f>H176</f>
        <v>15340.699999999999</v>
      </c>
      <c r="I175" s="186">
        <f>I176</f>
        <v>0</v>
      </c>
      <c r="J175" s="351">
        <f t="shared" si="3"/>
        <v>0</v>
      </c>
      <c r="K175" s="316"/>
    </row>
    <row r="176" spans="1:11" s="1" customFormat="1" ht="12.75">
      <c r="A176" s="63" t="s">
        <v>193</v>
      </c>
      <c r="B176" s="117" t="s">
        <v>376</v>
      </c>
      <c r="C176" s="117" t="s">
        <v>194</v>
      </c>
      <c r="D176" s="186">
        <f>14461.3+879.4</f>
        <v>15340.699999999999</v>
      </c>
      <c r="E176" s="316"/>
      <c r="F176" s="316"/>
      <c r="G176" s="316"/>
      <c r="H176" s="186">
        <f>14461.3+879.4</f>
        <v>15340.699999999999</v>
      </c>
      <c r="I176" s="178">
        <f>D176-H176</f>
        <v>0</v>
      </c>
      <c r="J176" s="351">
        <f t="shared" si="3"/>
        <v>0</v>
      </c>
      <c r="K176" s="316"/>
    </row>
    <row r="177" spans="1:11" s="1" customFormat="1" ht="12.75">
      <c r="A177" s="60" t="s">
        <v>226</v>
      </c>
      <c r="B177" s="117" t="s">
        <v>376</v>
      </c>
      <c r="C177" s="117" t="s">
        <v>188</v>
      </c>
      <c r="D177" s="186">
        <f>D178</f>
        <v>551.7</v>
      </c>
      <c r="E177" s="316"/>
      <c r="F177" s="316"/>
      <c r="G177" s="316"/>
      <c r="H177" s="186">
        <f>H178</f>
        <v>551.7</v>
      </c>
      <c r="I177" s="186">
        <f>I178</f>
        <v>0</v>
      </c>
      <c r="J177" s="351">
        <f t="shared" si="3"/>
        <v>0</v>
      </c>
      <c r="K177" s="316"/>
    </row>
    <row r="178" spans="1:11" s="1" customFormat="1" ht="12.75">
      <c r="A178" s="60" t="s">
        <v>189</v>
      </c>
      <c r="B178" s="117" t="s">
        <v>376</v>
      </c>
      <c r="C178" s="117" t="s">
        <v>187</v>
      </c>
      <c r="D178" s="186">
        <v>551.7</v>
      </c>
      <c r="E178" s="316"/>
      <c r="F178" s="316"/>
      <c r="G178" s="316"/>
      <c r="H178" s="186">
        <v>551.7</v>
      </c>
      <c r="I178" s="178">
        <f>D178-H178</f>
        <v>0</v>
      </c>
      <c r="J178" s="351">
        <f t="shared" si="3"/>
        <v>0</v>
      </c>
      <c r="K178" s="316"/>
    </row>
    <row r="179" spans="1:11" s="4" customFormat="1" ht="12.75">
      <c r="A179" s="147" t="s">
        <v>105</v>
      </c>
      <c r="B179" s="117" t="s">
        <v>378</v>
      </c>
      <c r="C179" s="117"/>
      <c r="D179" s="183">
        <f>D180+D182</f>
        <v>400</v>
      </c>
      <c r="E179" s="317"/>
      <c r="F179" s="317"/>
      <c r="G179" s="317"/>
      <c r="H179" s="183">
        <f>H180+H182</f>
        <v>400</v>
      </c>
      <c r="I179" s="183">
        <f>I180+I182</f>
        <v>0</v>
      </c>
      <c r="J179" s="351">
        <f t="shared" si="3"/>
        <v>0</v>
      </c>
      <c r="K179" s="317"/>
    </row>
    <row r="180" spans="1:11" s="4" customFormat="1" ht="38.25">
      <c r="A180" s="60" t="s">
        <v>116</v>
      </c>
      <c r="B180" s="117" t="s">
        <v>378</v>
      </c>
      <c r="C180" s="117" t="s">
        <v>198</v>
      </c>
      <c r="D180" s="183">
        <f>D181</f>
        <v>300</v>
      </c>
      <c r="E180" s="317"/>
      <c r="F180" s="317"/>
      <c r="G180" s="317"/>
      <c r="H180" s="183">
        <f>H181</f>
        <v>300</v>
      </c>
      <c r="I180" s="183">
        <f>I181</f>
        <v>0</v>
      </c>
      <c r="J180" s="351">
        <f t="shared" si="3"/>
        <v>0</v>
      </c>
      <c r="K180" s="317"/>
    </row>
    <row r="181" spans="1:11" s="4" customFormat="1" ht="12.75">
      <c r="A181" s="63" t="s">
        <v>193</v>
      </c>
      <c r="B181" s="117" t="s">
        <v>378</v>
      </c>
      <c r="C181" s="117" t="s">
        <v>194</v>
      </c>
      <c r="D181" s="183">
        <v>300</v>
      </c>
      <c r="E181" s="317"/>
      <c r="F181" s="317"/>
      <c r="G181" s="317"/>
      <c r="H181" s="183">
        <v>300</v>
      </c>
      <c r="I181" s="178">
        <f>D181-H181</f>
        <v>0</v>
      </c>
      <c r="J181" s="351">
        <f t="shared" si="3"/>
        <v>0</v>
      </c>
      <c r="K181" s="317"/>
    </row>
    <row r="182" spans="1:11" s="4" customFormat="1" ht="12.75">
      <c r="A182" s="60" t="s">
        <v>226</v>
      </c>
      <c r="B182" s="117" t="s">
        <v>378</v>
      </c>
      <c r="C182" s="117" t="s">
        <v>188</v>
      </c>
      <c r="D182" s="183">
        <f>D183</f>
        <v>100</v>
      </c>
      <c r="E182" s="317"/>
      <c r="F182" s="317"/>
      <c r="G182" s="317"/>
      <c r="H182" s="183">
        <f>H183</f>
        <v>100</v>
      </c>
      <c r="I182" s="183">
        <f>I183</f>
        <v>0</v>
      </c>
      <c r="J182" s="351">
        <f t="shared" si="3"/>
        <v>0</v>
      </c>
      <c r="K182" s="317"/>
    </row>
    <row r="183" spans="1:11" s="4" customFormat="1" ht="12.75">
      <c r="A183" s="60" t="s">
        <v>189</v>
      </c>
      <c r="B183" s="117" t="s">
        <v>378</v>
      </c>
      <c r="C183" s="117" t="s">
        <v>187</v>
      </c>
      <c r="D183" s="183">
        <v>100</v>
      </c>
      <c r="E183" s="317"/>
      <c r="F183" s="317"/>
      <c r="G183" s="317"/>
      <c r="H183" s="183">
        <v>100</v>
      </c>
      <c r="I183" s="178">
        <f>D183-H183</f>
        <v>0</v>
      </c>
      <c r="J183" s="351">
        <f t="shared" si="3"/>
        <v>0</v>
      </c>
      <c r="K183" s="317"/>
    </row>
    <row r="184" spans="1:11" s="1" customFormat="1" ht="25.5">
      <c r="A184" s="126" t="s">
        <v>447</v>
      </c>
      <c r="B184" s="127" t="s">
        <v>82</v>
      </c>
      <c r="C184" s="127"/>
      <c r="D184" s="177">
        <f>D185+D191+D200</f>
        <v>4061.911</v>
      </c>
      <c r="E184" s="351"/>
      <c r="F184" s="316"/>
      <c r="G184" s="316"/>
      <c r="H184" s="177">
        <f>H185+H191+H200</f>
        <v>2018.7</v>
      </c>
      <c r="I184" s="177">
        <f>I185+I191+I200</f>
        <v>2043.211</v>
      </c>
      <c r="J184" s="351">
        <f t="shared" si="3"/>
        <v>2043.211</v>
      </c>
      <c r="K184" s="316"/>
    </row>
    <row r="185" spans="1:11" s="1" customFormat="1" ht="12.75">
      <c r="A185" s="352" t="s">
        <v>341</v>
      </c>
      <c r="B185" s="116" t="s">
        <v>48</v>
      </c>
      <c r="C185" s="117"/>
      <c r="D185" s="184">
        <f>D186</f>
        <v>245</v>
      </c>
      <c r="E185" s="316"/>
      <c r="F185" s="316"/>
      <c r="G185" s="316"/>
      <c r="H185" s="184">
        <f>H186</f>
        <v>245</v>
      </c>
      <c r="I185" s="184">
        <f>I186</f>
        <v>0</v>
      </c>
      <c r="J185" s="351">
        <f t="shared" si="3"/>
        <v>0</v>
      </c>
      <c r="K185" s="316"/>
    </row>
    <row r="186" spans="1:10" ht="16.5" customHeight="1">
      <c r="A186" s="46" t="s">
        <v>94</v>
      </c>
      <c r="B186" s="117" t="s">
        <v>49</v>
      </c>
      <c r="C186" s="172"/>
      <c r="D186" s="187">
        <f>D187+D189</f>
        <v>245</v>
      </c>
      <c r="H186" s="187">
        <f>H187+H189</f>
        <v>245</v>
      </c>
      <c r="I186" s="187">
        <f>I187+I189</f>
        <v>0</v>
      </c>
      <c r="J186" s="351">
        <f t="shared" si="3"/>
        <v>0</v>
      </c>
    </row>
    <row r="187" spans="1:10" ht="15.75">
      <c r="A187" s="60" t="s">
        <v>226</v>
      </c>
      <c r="B187" s="117" t="s">
        <v>49</v>
      </c>
      <c r="C187" s="173">
        <v>200</v>
      </c>
      <c r="D187" s="183">
        <f>D188</f>
        <v>205</v>
      </c>
      <c r="H187" s="183">
        <f>H188</f>
        <v>205</v>
      </c>
      <c r="I187" s="183">
        <f>I188</f>
        <v>0</v>
      </c>
      <c r="J187" s="351">
        <f t="shared" si="3"/>
        <v>0</v>
      </c>
    </row>
    <row r="188" spans="1:10" ht="15.75">
      <c r="A188" s="60" t="s">
        <v>189</v>
      </c>
      <c r="B188" s="117" t="s">
        <v>49</v>
      </c>
      <c r="C188" s="173">
        <v>240</v>
      </c>
      <c r="D188" s="183">
        <f>5+200</f>
        <v>205</v>
      </c>
      <c r="H188" s="183">
        <f>5+200</f>
        <v>205</v>
      </c>
      <c r="I188" s="178">
        <f>D188-H188</f>
        <v>0</v>
      </c>
      <c r="J188" s="351">
        <f t="shared" si="3"/>
        <v>0</v>
      </c>
    </row>
    <row r="189" spans="1:11" s="1" customFormat="1" ht="25.5">
      <c r="A189" s="60" t="s">
        <v>263</v>
      </c>
      <c r="B189" s="117" t="s">
        <v>49</v>
      </c>
      <c r="C189" s="173">
        <v>600</v>
      </c>
      <c r="D189" s="183">
        <f>D190</f>
        <v>40</v>
      </c>
      <c r="E189" s="316"/>
      <c r="F189" s="316"/>
      <c r="G189" s="316"/>
      <c r="H189" s="183">
        <f>H190</f>
        <v>40</v>
      </c>
      <c r="I189" s="183">
        <f>I190</f>
        <v>0</v>
      </c>
      <c r="J189" s="351">
        <f t="shared" si="3"/>
        <v>0</v>
      </c>
      <c r="K189" s="316"/>
    </row>
    <row r="190" spans="1:11" s="1" customFormat="1" ht="12.75">
      <c r="A190" s="60" t="s">
        <v>191</v>
      </c>
      <c r="B190" s="117" t="s">
        <v>49</v>
      </c>
      <c r="C190" s="173">
        <v>610</v>
      </c>
      <c r="D190" s="183">
        <v>40</v>
      </c>
      <c r="E190" s="316"/>
      <c r="F190" s="316"/>
      <c r="G190" s="316"/>
      <c r="H190" s="183">
        <v>40</v>
      </c>
      <c r="I190" s="178">
        <f>D190-H190</f>
        <v>0</v>
      </c>
      <c r="J190" s="351">
        <f t="shared" si="3"/>
        <v>0</v>
      </c>
      <c r="K190" s="316"/>
    </row>
    <row r="191" spans="1:11" s="1" customFormat="1" ht="12.75">
      <c r="A191" s="53" t="s">
        <v>212</v>
      </c>
      <c r="B191" s="116" t="s">
        <v>50</v>
      </c>
      <c r="C191" s="116"/>
      <c r="D191" s="184">
        <f>D192+D197</f>
        <v>367</v>
      </c>
      <c r="E191" s="316"/>
      <c r="F191" s="316"/>
      <c r="G191" s="316"/>
      <c r="H191" s="184">
        <f>H192+H197</f>
        <v>367</v>
      </c>
      <c r="I191" s="184">
        <f>I192+I197</f>
        <v>0</v>
      </c>
      <c r="J191" s="351">
        <f t="shared" si="3"/>
        <v>0</v>
      </c>
      <c r="K191" s="316"/>
    </row>
    <row r="192" spans="1:11" s="1" customFormat="1" ht="16.5" customHeight="1">
      <c r="A192" s="46" t="s">
        <v>94</v>
      </c>
      <c r="B192" s="117" t="s">
        <v>51</v>
      </c>
      <c r="C192" s="117"/>
      <c r="D192" s="178">
        <f>D193+D195</f>
        <v>325</v>
      </c>
      <c r="E192" s="316"/>
      <c r="F192" s="316"/>
      <c r="G192" s="316"/>
      <c r="H192" s="178">
        <f>H193+H195</f>
        <v>325</v>
      </c>
      <c r="I192" s="178">
        <f>I193+I195</f>
        <v>0</v>
      </c>
      <c r="J192" s="351">
        <f t="shared" si="3"/>
        <v>0</v>
      </c>
      <c r="K192" s="316"/>
    </row>
    <row r="193" spans="1:11" s="1" customFormat="1" ht="12.75">
      <c r="A193" s="60" t="s">
        <v>226</v>
      </c>
      <c r="B193" s="117" t="s">
        <v>51</v>
      </c>
      <c r="C193" s="117" t="s">
        <v>188</v>
      </c>
      <c r="D193" s="178">
        <f>D194</f>
        <v>52</v>
      </c>
      <c r="E193" s="316"/>
      <c r="F193" s="316"/>
      <c r="G193" s="316"/>
      <c r="H193" s="178">
        <f>H194</f>
        <v>52</v>
      </c>
      <c r="I193" s="178">
        <f>I194</f>
        <v>0</v>
      </c>
      <c r="J193" s="351">
        <f t="shared" si="3"/>
        <v>0</v>
      </c>
      <c r="K193" s="316"/>
    </row>
    <row r="194" spans="1:11" s="1" customFormat="1" ht="12.75">
      <c r="A194" s="60" t="s">
        <v>189</v>
      </c>
      <c r="B194" s="117" t="s">
        <v>51</v>
      </c>
      <c r="C194" s="117" t="s">
        <v>187</v>
      </c>
      <c r="D194" s="178">
        <v>52</v>
      </c>
      <c r="E194" s="316"/>
      <c r="F194" s="316"/>
      <c r="G194" s="316"/>
      <c r="H194" s="178">
        <v>52</v>
      </c>
      <c r="I194" s="178">
        <f>D194-H194</f>
        <v>0</v>
      </c>
      <c r="J194" s="351">
        <f t="shared" si="3"/>
        <v>0</v>
      </c>
      <c r="K194" s="316"/>
    </row>
    <row r="195" spans="1:11" s="1" customFormat="1" ht="25.5">
      <c r="A195" s="60" t="s">
        <v>263</v>
      </c>
      <c r="B195" s="117" t="s">
        <v>51</v>
      </c>
      <c r="C195" s="117" t="s">
        <v>178</v>
      </c>
      <c r="D195" s="178">
        <f>D196</f>
        <v>273</v>
      </c>
      <c r="E195" s="316"/>
      <c r="F195" s="316"/>
      <c r="G195" s="316"/>
      <c r="H195" s="178">
        <f>H196</f>
        <v>273</v>
      </c>
      <c r="I195" s="178">
        <f>I196</f>
        <v>0</v>
      </c>
      <c r="J195" s="351">
        <f t="shared" si="3"/>
        <v>0</v>
      </c>
      <c r="K195" s="316"/>
    </row>
    <row r="196" spans="1:11" s="1" customFormat="1" ht="12.75">
      <c r="A196" s="60" t="s">
        <v>191</v>
      </c>
      <c r="B196" s="117" t="s">
        <v>51</v>
      </c>
      <c r="C196" s="117" t="s">
        <v>192</v>
      </c>
      <c r="D196" s="178">
        <v>273</v>
      </c>
      <c r="E196" s="316"/>
      <c r="F196" s="316"/>
      <c r="G196" s="316"/>
      <c r="H196" s="178">
        <v>273</v>
      </c>
      <c r="I196" s="178">
        <f>D196-H196</f>
        <v>0</v>
      </c>
      <c r="J196" s="351">
        <f t="shared" si="3"/>
        <v>0</v>
      </c>
      <c r="K196" s="316"/>
    </row>
    <row r="197" spans="1:11" s="1" customFormat="1" ht="16.5" customHeight="1">
      <c r="A197" s="46" t="s">
        <v>463</v>
      </c>
      <c r="B197" s="117" t="s">
        <v>534</v>
      </c>
      <c r="C197" s="117"/>
      <c r="D197" s="178">
        <f>D198</f>
        <v>42</v>
      </c>
      <c r="E197" s="316"/>
      <c r="F197" s="316"/>
      <c r="G197" s="316"/>
      <c r="H197" s="178">
        <f>H198</f>
        <v>42</v>
      </c>
      <c r="I197" s="178">
        <f>I198</f>
        <v>0</v>
      </c>
      <c r="J197" s="351">
        <f t="shared" si="3"/>
        <v>0</v>
      </c>
      <c r="K197" s="316"/>
    </row>
    <row r="198" spans="1:11" s="1" customFormat="1" ht="12.75">
      <c r="A198" s="60" t="s">
        <v>89</v>
      </c>
      <c r="B198" s="117" t="s">
        <v>534</v>
      </c>
      <c r="C198" s="117" t="s">
        <v>85</v>
      </c>
      <c r="D198" s="178">
        <f>D199</f>
        <v>42</v>
      </c>
      <c r="E198" s="316"/>
      <c r="F198" s="316"/>
      <c r="G198" s="316"/>
      <c r="H198" s="178">
        <f>H199</f>
        <v>42</v>
      </c>
      <c r="I198" s="178">
        <f>I199</f>
        <v>0</v>
      </c>
      <c r="J198" s="351">
        <f aca="true" t="shared" si="4" ref="J198:J261">D198-H198</f>
        <v>0</v>
      </c>
      <c r="K198" s="316"/>
    </row>
    <row r="199" spans="1:11" s="1" customFormat="1" ht="12.75">
      <c r="A199" s="60" t="s">
        <v>84</v>
      </c>
      <c r="B199" s="117" t="s">
        <v>534</v>
      </c>
      <c r="C199" s="117" t="s">
        <v>86</v>
      </c>
      <c r="D199" s="178">
        <v>42</v>
      </c>
      <c r="E199" s="316"/>
      <c r="F199" s="316"/>
      <c r="G199" s="316"/>
      <c r="H199" s="178">
        <v>42</v>
      </c>
      <c r="I199" s="178">
        <f>D199-H199</f>
        <v>0</v>
      </c>
      <c r="J199" s="351">
        <f t="shared" si="4"/>
        <v>0</v>
      </c>
      <c r="K199" s="316"/>
    </row>
    <row r="200" spans="1:11" s="1" customFormat="1" ht="12.75">
      <c r="A200" s="53" t="s">
        <v>448</v>
      </c>
      <c r="B200" s="116" t="s">
        <v>449</v>
      </c>
      <c r="C200" s="116"/>
      <c r="D200" s="184">
        <f>D201</f>
        <v>3449.911</v>
      </c>
      <c r="E200" s="316"/>
      <c r="F200" s="316"/>
      <c r="G200" s="316"/>
      <c r="H200" s="184">
        <f aca="true" t="shared" si="5" ref="H200:I202">H201</f>
        <v>1406.7</v>
      </c>
      <c r="I200" s="184">
        <f t="shared" si="5"/>
        <v>2043.211</v>
      </c>
      <c r="J200" s="351">
        <f t="shared" si="4"/>
        <v>2043.211</v>
      </c>
      <c r="K200" s="316"/>
    </row>
    <row r="201" spans="1:11" s="1" customFormat="1" ht="12.75">
      <c r="A201" s="46" t="s">
        <v>451</v>
      </c>
      <c r="B201" s="117" t="s">
        <v>450</v>
      </c>
      <c r="C201" s="117"/>
      <c r="D201" s="178">
        <f>D202</f>
        <v>3449.911</v>
      </c>
      <c r="E201" s="316"/>
      <c r="F201" s="316"/>
      <c r="G201" s="316"/>
      <c r="H201" s="178">
        <f t="shared" si="5"/>
        <v>1406.7</v>
      </c>
      <c r="I201" s="178">
        <f t="shared" si="5"/>
        <v>2043.211</v>
      </c>
      <c r="J201" s="351">
        <f t="shared" si="4"/>
        <v>2043.211</v>
      </c>
      <c r="K201" s="316"/>
    </row>
    <row r="202" spans="1:11" s="1" customFormat="1" ht="12.75">
      <c r="A202" s="60" t="s">
        <v>89</v>
      </c>
      <c r="B202" s="117" t="s">
        <v>450</v>
      </c>
      <c r="C202" s="117" t="s">
        <v>85</v>
      </c>
      <c r="D202" s="178">
        <f>D203</f>
        <v>3449.911</v>
      </c>
      <c r="E202" s="316"/>
      <c r="F202" s="316"/>
      <c r="G202" s="316"/>
      <c r="H202" s="178">
        <f t="shared" si="5"/>
        <v>1406.7</v>
      </c>
      <c r="I202" s="178">
        <f t="shared" si="5"/>
        <v>2043.211</v>
      </c>
      <c r="J202" s="351">
        <f t="shared" si="4"/>
        <v>2043.211</v>
      </c>
      <c r="K202" s="316"/>
    </row>
    <row r="203" spans="1:11" s="1" customFormat="1" ht="12.75">
      <c r="A203" s="60" t="s">
        <v>84</v>
      </c>
      <c r="B203" s="117" t="s">
        <v>450</v>
      </c>
      <c r="C203" s="117" t="s">
        <v>86</v>
      </c>
      <c r="D203" s="178">
        <v>3449.911</v>
      </c>
      <c r="E203" s="316"/>
      <c r="F203" s="316"/>
      <c r="G203" s="316"/>
      <c r="H203" s="178">
        <v>1406.7</v>
      </c>
      <c r="I203" s="178">
        <f>D203-H203</f>
        <v>2043.211</v>
      </c>
      <c r="J203" s="351">
        <f t="shared" si="4"/>
        <v>2043.211</v>
      </c>
      <c r="K203" s="316"/>
    </row>
    <row r="204" spans="1:11" s="1" customFormat="1" ht="25.5">
      <c r="A204" s="128" t="s">
        <v>443</v>
      </c>
      <c r="B204" s="127" t="s">
        <v>0</v>
      </c>
      <c r="C204" s="127"/>
      <c r="D204" s="188">
        <f>D205</f>
        <v>2115</v>
      </c>
      <c r="E204" s="316"/>
      <c r="F204" s="316"/>
      <c r="G204" s="316"/>
      <c r="H204" s="188">
        <f>H205</f>
        <v>2115</v>
      </c>
      <c r="I204" s="188">
        <f>I205</f>
        <v>0</v>
      </c>
      <c r="J204" s="351">
        <f t="shared" si="4"/>
        <v>0</v>
      </c>
      <c r="K204" s="316"/>
    </row>
    <row r="205" spans="1:11" s="1" customFormat="1" ht="25.5">
      <c r="A205" s="352" t="s">
        <v>591</v>
      </c>
      <c r="B205" s="116" t="s">
        <v>1</v>
      </c>
      <c r="C205" s="117"/>
      <c r="D205" s="189">
        <f>D208</f>
        <v>2115</v>
      </c>
      <c r="E205" s="316"/>
      <c r="F205" s="316"/>
      <c r="G205" s="316"/>
      <c r="H205" s="189">
        <f>H208</f>
        <v>2115</v>
      </c>
      <c r="I205" s="189">
        <f>I208</f>
        <v>0</v>
      </c>
      <c r="J205" s="351">
        <f t="shared" si="4"/>
        <v>0</v>
      </c>
      <c r="K205" s="316"/>
    </row>
    <row r="206" spans="1:11" s="1" customFormat="1" ht="12.75">
      <c r="A206" s="46" t="s">
        <v>444</v>
      </c>
      <c r="B206" s="117" t="s">
        <v>2</v>
      </c>
      <c r="C206" s="353"/>
      <c r="D206" s="190">
        <f>D207</f>
        <v>2115</v>
      </c>
      <c r="E206" s="316"/>
      <c r="F206" s="316"/>
      <c r="G206" s="316"/>
      <c r="H206" s="190">
        <f>H207</f>
        <v>2115</v>
      </c>
      <c r="I206" s="190">
        <f>I207</f>
        <v>0</v>
      </c>
      <c r="J206" s="351">
        <f t="shared" si="4"/>
        <v>0</v>
      </c>
      <c r="K206" s="316"/>
    </row>
    <row r="207" spans="1:11" s="1" customFormat="1" ht="12.75">
      <c r="A207" s="60" t="s">
        <v>226</v>
      </c>
      <c r="B207" s="117" t="s">
        <v>2</v>
      </c>
      <c r="C207" s="353" t="s">
        <v>188</v>
      </c>
      <c r="D207" s="191">
        <f>D208</f>
        <v>2115</v>
      </c>
      <c r="E207" s="316"/>
      <c r="F207" s="316"/>
      <c r="G207" s="316"/>
      <c r="H207" s="191">
        <f>H208</f>
        <v>2115</v>
      </c>
      <c r="I207" s="191">
        <f>I208</f>
        <v>0</v>
      </c>
      <c r="J207" s="351">
        <f t="shared" si="4"/>
        <v>0</v>
      </c>
      <c r="K207" s="316"/>
    </row>
    <row r="208" spans="1:11" s="1" customFormat="1" ht="12.75">
      <c r="A208" s="60" t="s">
        <v>189</v>
      </c>
      <c r="B208" s="117" t="s">
        <v>2</v>
      </c>
      <c r="C208" s="353" t="s">
        <v>187</v>
      </c>
      <c r="D208" s="191">
        <v>2115</v>
      </c>
      <c r="E208" s="316"/>
      <c r="F208" s="316"/>
      <c r="G208" s="316"/>
      <c r="H208" s="191">
        <v>2115</v>
      </c>
      <c r="I208" s="178">
        <f>D208-H208</f>
        <v>0</v>
      </c>
      <c r="J208" s="351">
        <f t="shared" si="4"/>
        <v>0</v>
      </c>
      <c r="K208" s="316"/>
    </row>
    <row r="209" spans="1:11" s="1" customFormat="1" ht="12.75">
      <c r="A209" s="354" t="s">
        <v>535</v>
      </c>
      <c r="B209" s="127" t="s">
        <v>3</v>
      </c>
      <c r="C209" s="355"/>
      <c r="D209" s="177">
        <f>D213+D216+D219+D210</f>
        <v>3220</v>
      </c>
      <c r="E209" s="316"/>
      <c r="F209" s="316"/>
      <c r="G209" s="316"/>
      <c r="H209" s="177">
        <f>H213+H216+H219+H210</f>
        <v>1220</v>
      </c>
      <c r="I209" s="177">
        <f>I213+I216+I219+I210</f>
        <v>2000</v>
      </c>
      <c r="J209" s="351">
        <f t="shared" si="4"/>
        <v>2000</v>
      </c>
      <c r="K209" s="316"/>
    </row>
    <row r="210" spans="1:11" s="1" customFormat="1" ht="12.75">
      <c r="A210" s="50" t="s">
        <v>243</v>
      </c>
      <c r="B210" s="117" t="s">
        <v>351</v>
      </c>
      <c r="C210" s="117"/>
      <c r="D210" s="178">
        <f>D211</f>
        <v>5</v>
      </c>
      <c r="E210" s="316"/>
      <c r="F210" s="316"/>
      <c r="G210" s="316"/>
      <c r="H210" s="178">
        <f>H211</f>
        <v>5</v>
      </c>
      <c r="I210" s="178">
        <f>I211</f>
        <v>0</v>
      </c>
      <c r="J210" s="351">
        <f t="shared" si="4"/>
        <v>0</v>
      </c>
      <c r="K210" s="316"/>
    </row>
    <row r="211" spans="1:11" s="1" customFormat="1" ht="12.75">
      <c r="A211" s="60" t="s">
        <v>226</v>
      </c>
      <c r="B211" s="117" t="s">
        <v>351</v>
      </c>
      <c r="C211" s="117" t="s">
        <v>188</v>
      </c>
      <c r="D211" s="178">
        <f>D212</f>
        <v>5</v>
      </c>
      <c r="E211" s="316"/>
      <c r="F211" s="316"/>
      <c r="G211" s="316"/>
      <c r="H211" s="178">
        <f>H212</f>
        <v>5</v>
      </c>
      <c r="I211" s="178">
        <f>I212</f>
        <v>0</v>
      </c>
      <c r="J211" s="351">
        <f t="shared" si="4"/>
        <v>0</v>
      </c>
      <c r="K211" s="316"/>
    </row>
    <row r="212" spans="1:11" s="1" customFormat="1" ht="12.75">
      <c r="A212" s="60" t="s">
        <v>189</v>
      </c>
      <c r="B212" s="117" t="s">
        <v>351</v>
      </c>
      <c r="C212" s="117" t="s">
        <v>187</v>
      </c>
      <c r="D212" s="178">
        <v>5</v>
      </c>
      <c r="E212" s="316"/>
      <c r="F212" s="316"/>
      <c r="G212" s="316"/>
      <c r="H212" s="178">
        <v>5</v>
      </c>
      <c r="I212" s="178">
        <f>D212-H212</f>
        <v>0</v>
      </c>
      <c r="J212" s="351">
        <f t="shared" si="4"/>
        <v>0</v>
      </c>
      <c r="K212" s="316"/>
    </row>
    <row r="213" spans="1:11" s="1" customFormat="1" ht="12.75">
      <c r="A213" s="46" t="s">
        <v>101</v>
      </c>
      <c r="B213" s="117" t="s">
        <v>4</v>
      </c>
      <c r="C213" s="356"/>
      <c r="D213" s="178">
        <f>D214</f>
        <v>3000</v>
      </c>
      <c r="E213" s="316"/>
      <c r="F213" s="316"/>
      <c r="G213" s="316"/>
      <c r="H213" s="178">
        <f>H214</f>
        <v>1000</v>
      </c>
      <c r="I213" s="178">
        <f>I214</f>
        <v>2000</v>
      </c>
      <c r="J213" s="351">
        <f t="shared" si="4"/>
        <v>2000</v>
      </c>
      <c r="K213" s="316"/>
    </row>
    <row r="214" spans="1:11" s="1" customFormat="1" ht="12.75">
      <c r="A214" s="46" t="s">
        <v>90</v>
      </c>
      <c r="B214" s="117" t="s">
        <v>4</v>
      </c>
      <c r="C214" s="356" t="s">
        <v>87</v>
      </c>
      <c r="D214" s="178">
        <f>D215</f>
        <v>3000</v>
      </c>
      <c r="E214" s="316"/>
      <c r="F214" s="316"/>
      <c r="G214" s="316"/>
      <c r="H214" s="178">
        <f>H215</f>
        <v>1000</v>
      </c>
      <c r="I214" s="178">
        <f>I215</f>
        <v>2000</v>
      </c>
      <c r="J214" s="351">
        <f t="shared" si="4"/>
        <v>2000</v>
      </c>
      <c r="K214" s="316"/>
    </row>
    <row r="215" spans="1:11" s="1" customFormat="1" ht="25.5">
      <c r="A215" s="46" t="s">
        <v>228</v>
      </c>
      <c r="B215" s="117" t="s">
        <v>4</v>
      </c>
      <c r="C215" s="117" t="s">
        <v>88</v>
      </c>
      <c r="D215" s="178">
        <f>1000+2000</f>
        <v>3000</v>
      </c>
      <c r="E215" s="316"/>
      <c r="F215" s="316"/>
      <c r="G215" s="316"/>
      <c r="H215" s="178">
        <f>1000</f>
        <v>1000</v>
      </c>
      <c r="I215" s="178">
        <f>D215-H215</f>
        <v>2000</v>
      </c>
      <c r="J215" s="351">
        <f t="shared" si="4"/>
        <v>2000</v>
      </c>
      <c r="K215" s="316"/>
    </row>
    <row r="216" spans="1:11" s="1" customFormat="1" ht="15" customHeight="1">
      <c r="A216" s="50" t="s">
        <v>96</v>
      </c>
      <c r="B216" s="117" t="s">
        <v>5</v>
      </c>
      <c r="C216" s="117"/>
      <c r="D216" s="178">
        <f>D217</f>
        <v>115</v>
      </c>
      <c r="E216" s="316"/>
      <c r="F216" s="316"/>
      <c r="G216" s="316"/>
      <c r="H216" s="178">
        <f>H217</f>
        <v>115</v>
      </c>
      <c r="I216" s="178">
        <f>I217</f>
        <v>0</v>
      </c>
      <c r="J216" s="351">
        <f t="shared" si="4"/>
        <v>0</v>
      </c>
      <c r="K216" s="316"/>
    </row>
    <row r="217" spans="1:11" s="1" customFormat="1" ht="12.75">
      <c r="A217" s="60" t="s">
        <v>226</v>
      </c>
      <c r="B217" s="117" t="s">
        <v>5</v>
      </c>
      <c r="C217" s="117" t="s">
        <v>188</v>
      </c>
      <c r="D217" s="178">
        <f>D218</f>
        <v>115</v>
      </c>
      <c r="E217" s="316"/>
      <c r="F217" s="316"/>
      <c r="G217" s="316"/>
      <c r="H217" s="178">
        <f>H218</f>
        <v>115</v>
      </c>
      <c r="I217" s="178">
        <f>I218</f>
        <v>0</v>
      </c>
      <c r="J217" s="351">
        <f t="shared" si="4"/>
        <v>0</v>
      </c>
      <c r="K217" s="316"/>
    </row>
    <row r="218" spans="1:11" s="1" customFormat="1" ht="12.75">
      <c r="A218" s="60" t="s">
        <v>189</v>
      </c>
      <c r="B218" s="117" t="s">
        <v>5</v>
      </c>
      <c r="C218" s="117" t="s">
        <v>187</v>
      </c>
      <c r="D218" s="178">
        <v>115</v>
      </c>
      <c r="E218" s="316"/>
      <c r="F218" s="316"/>
      <c r="G218" s="316"/>
      <c r="H218" s="178">
        <v>115</v>
      </c>
      <c r="I218" s="178">
        <f>D218-H218</f>
        <v>0</v>
      </c>
      <c r="J218" s="351">
        <f t="shared" si="4"/>
        <v>0</v>
      </c>
      <c r="K218" s="316"/>
    </row>
    <row r="219" spans="1:11" s="1" customFormat="1" ht="25.5">
      <c r="A219" s="50" t="s">
        <v>349</v>
      </c>
      <c r="B219" s="117" t="s">
        <v>350</v>
      </c>
      <c r="C219" s="117"/>
      <c r="D219" s="178">
        <f>D220</f>
        <v>100</v>
      </c>
      <c r="E219" s="316"/>
      <c r="F219" s="316"/>
      <c r="G219" s="316"/>
      <c r="H219" s="178">
        <f>H220</f>
        <v>100</v>
      </c>
      <c r="I219" s="178">
        <f>I220</f>
        <v>0</v>
      </c>
      <c r="J219" s="351">
        <f t="shared" si="4"/>
        <v>0</v>
      </c>
      <c r="K219" s="316"/>
    </row>
    <row r="220" spans="1:11" s="1" customFormat="1" ht="12.75">
      <c r="A220" s="60" t="s">
        <v>226</v>
      </c>
      <c r="B220" s="117" t="s">
        <v>350</v>
      </c>
      <c r="C220" s="117" t="s">
        <v>188</v>
      </c>
      <c r="D220" s="178">
        <f>D221</f>
        <v>100</v>
      </c>
      <c r="E220" s="316"/>
      <c r="F220" s="316"/>
      <c r="G220" s="316"/>
      <c r="H220" s="178">
        <f>H221</f>
        <v>100</v>
      </c>
      <c r="I220" s="178">
        <f>I221</f>
        <v>0</v>
      </c>
      <c r="J220" s="351">
        <f t="shared" si="4"/>
        <v>0</v>
      </c>
      <c r="K220" s="316"/>
    </row>
    <row r="221" spans="1:11" s="1" customFormat="1" ht="12.75">
      <c r="A221" s="60" t="s">
        <v>189</v>
      </c>
      <c r="B221" s="117" t="s">
        <v>350</v>
      </c>
      <c r="C221" s="117" t="s">
        <v>187</v>
      </c>
      <c r="D221" s="178">
        <v>100</v>
      </c>
      <c r="E221" s="316"/>
      <c r="F221" s="316"/>
      <c r="G221" s="316"/>
      <c r="H221" s="178">
        <v>100</v>
      </c>
      <c r="I221" s="178">
        <f>D221-H221</f>
        <v>0</v>
      </c>
      <c r="J221" s="351">
        <f t="shared" si="4"/>
        <v>0</v>
      </c>
      <c r="K221" s="316"/>
    </row>
    <row r="222" spans="1:11" s="1" customFormat="1" ht="12.75">
      <c r="A222" s="129" t="s">
        <v>445</v>
      </c>
      <c r="B222" s="127" t="s">
        <v>6</v>
      </c>
      <c r="C222" s="127"/>
      <c r="D222" s="177">
        <f aca="true" t="shared" si="6" ref="D222:I222">D229+D235+D223+D232+D226</f>
        <v>18442.6</v>
      </c>
      <c r="E222" s="177">
        <f t="shared" si="6"/>
        <v>0</v>
      </c>
      <c r="F222" s="177">
        <f t="shared" si="6"/>
        <v>0</v>
      </c>
      <c r="G222" s="177">
        <f t="shared" si="6"/>
        <v>0</v>
      </c>
      <c r="H222" s="177">
        <f>H229+H235+H223+H232+H226</f>
        <v>19105.9</v>
      </c>
      <c r="I222" s="177">
        <f t="shared" si="6"/>
        <v>-663.3000000000002</v>
      </c>
      <c r="J222" s="351">
        <f t="shared" si="4"/>
        <v>-663.3000000000029</v>
      </c>
      <c r="K222" s="316"/>
    </row>
    <row r="223" spans="1:11" s="1" customFormat="1" ht="12.75">
      <c r="A223" s="46" t="s">
        <v>232</v>
      </c>
      <c r="B223" s="117" t="s">
        <v>689</v>
      </c>
      <c r="C223" s="117"/>
      <c r="D223" s="178">
        <f>D224</f>
        <v>5557.1</v>
      </c>
      <c r="E223" s="316"/>
      <c r="F223" s="316"/>
      <c r="G223" s="316"/>
      <c r="H223" s="178">
        <f>H224</f>
        <v>5557.1</v>
      </c>
      <c r="I223" s="178">
        <f>I224</f>
        <v>0</v>
      </c>
      <c r="J223" s="351">
        <f t="shared" si="4"/>
        <v>0</v>
      </c>
      <c r="K223" s="316"/>
    </row>
    <row r="224" spans="1:11" s="1" customFormat="1" ht="12.75">
      <c r="A224" s="60" t="s">
        <v>226</v>
      </c>
      <c r="B224" s="117" t="s">
        <v>689</v>
      </c>
      <c r="C224" s="117" t="s">
        <v>188</v>
      </c>
      <c r="D224" s="178">
        <f>SUM(D225)</f>
        <v>5557.1</v>
      </c>
      <c r="E224" s="316"/>
      <c r="F224" s="316"/>
      <c r="G224" s="316"/>
      <c r="H224" s="178">
        <f>SUM(H225)</f>
        <v>5557.1</v>
      </c>
      <c r="I224" s="178">
        <f>SUM(I225)</f>
        <v>0</v>
      </c>
      <c r="J224" s="351">
        <f t="shared" si="4"/>
        <v>0</v>
      </c>
      <c r="K224" s="316"/>
    </row>
    <row r="225" spans="1:11" s="1" customFormat="1" ht="12.75">
      <c r="A225" s="60" t="s">
        <v>189</v>
      </c>
      <c r="B225" s="117" t="s">
        <v>689</v>
      </c>
      <c r="C225" s="117" t="s">
        <v>187</v>
      </c>
      <c r="D225" s="178">
        <f>2818.1+2739</f>
        <v>5557.1</v>
      </c>
      <c r="E225" s="316"/>
      <c r="F225" s="316"/>
      <c r="G225" s="316"/>
      <c r="H225" s="178">
        <f>2818.1+2739</f>
        <v>5557.1</v>
      </c>
      <c r="I225" s="178">
        <f>D225-H225</f>
        <v>0</v>
      </c>
      <c r="J225" s="351">
        <f t="shared" si="4"/>
        <v>0</v>
      </c>
      <c r="K225" s="316"/>
    </row>
    <row r="226" spans="1:11" s="1" customFormat="1" ht="13.5" customHeight="1">
      <c r="A226" s="46" t="s">
        <v>697</v>
      </c>
      <c r="B226" s="117" t="s">
        <v>696</v>
      </c>
      <c r="C226" s="117"/>
      <c r="D226" s="178">
        <f>D227</f>
        <v>54</v>
      </c>
      <c r="E226" s="316"/>
      <c r="F226" s="316"/>
      <c r="G226" s="316"/>
      <c r="H226" s="178">
        <f>H227</f>
        <v>54</v>
      </c>
      <c r="I226" s="178">
        <f>I227</f>
        <v>0</v>
      </c>
      <c r="J226" s="351">
        <f t="shared" si="4"/>
        <v>0</v>
      </c>
      <c r="K226" s="316"/>
    </row>
    <row r="227" spans="1:11" s="1" customFormat="1" ht="12.75">
      <c r="A227" s="63" t="s">
        <v>227</v>
      </c>
      <c r="B227" s="117" t="s">
        <v>696</v>
      </c>
      <c r="C227" s="117" t="s">
        <v>199</v>
      </c>
      <c r="D227" s="178">
        <f>SUM(D228)</f>
        <v>54</v>
      </c>
      <c r="E227" s="316"/>
      <c r="F227" s="316"/>
      <c r="G227" s="316"/>
      <c r="H227" s="178">
        <f>SUM(H228)</f>
        <v>54</v>
      </c>
      <c r="I227" s="178">
        <f>SUM(I228)</f>
        <v>0</v>
      </c>
      <c r="J227" s="351">
        <f t="shared" si="4"/>
        <v>0</v>
      </c>
      <c r="K227" s="316"/>
    </row>
    <row r="228" spans="1:11" s="1" customFormat="1" ht="12.75">
      <c r="A228" s="64" t="s">
        <v>179</v>
      </c>
      <c r="B228" s="117" t="s">
        <v>696</v>
      </c>
      <c r="C228" s="117" t="s">
        <v>200</v>
      </c>
      <c r="D228" s="178">
        <v>54</v>
      </c>
      <c r="E228" s="316"/>
      <c r="F228" s="316"/>
      <c r="G228" s="316"/>
      <c r="H228" s="178">
        <v>54</v>
      </c>
      <c r="I228" s="178">
        <f>D228-H228</f>
        <v>0</v>
      </c>
      <c r="J228" s="351">
        <f t="shared" si="4"/>
        <v>0</v>
      </c>
      <c r="K228" s="316"/>
    </row>
    <row r="229" spans="1:11" s="1" customFormat="1" ht="25.5">
      <c r="A229" s="46" t="s">
        <v>499</v>
      </c>
      <c r="B229" s="117" t="s">
        <v>498</v>
      </c>
      <c r="C229" s="117"/>
      <c r="D229" s="178">
        <f>D230</f>
        <v>4600</v>
      </c>
      <c r="E229" s="316"/>
      <c r="F229" s="316"/>
      <c r="G229" s="316"/>
      <c r="H229" s="178">
        <f>H230</f>
        <v>4600</v>
      </c>
      <c r="I229" s="178">
        <f>I230</f>
        <v>0</v>
      </c>
      <c r="J229" s="351">
        <f t="shared" si="4"/>
        <v>0</v>
      </c>
      <c r="K229" s="316"/>
    </row>
    <row r="230" spans="1:11" s="1" customFormat="1" ht="12.75">
      <c r="A230" s="63" t="s">
        <v>227</v>
      </c>
      <c r="B230" s="117" t="s">
        <v>498</v>
      </c>
      <c r="C230" s="117" t="s">
        <v>199</v>
      </c>
      <c r="D230" s="178">
        <f>SUM(D231)</f>
        <v>4600</v>
      </c>
      <c r="E230" s="316"/>
      <c r="F230" s="316"/>
      <c r="G230" s="316"/>
      <c r="H230" s="178">
        <f>SUM(H231)</f>
        <v>4600</v>
      </c>
      <c r="I230" s="178">
        <f>SUM(I231)</f>
        <v>0</v>
      </c>
      <c r="J230" s="351">
        <f t="shared" si="4"/>
        <v>0</v>
      </c>
      <c r="K230" s="316"/>
    </row>
    <row r="231" spans="1:11" s="1" customFormat="1" ht="12.75">
      <c r="A231" s="64" t="s">
        <v>179</v>
      </c>
      <c r="B231" s="117" t="s">
        <v>498</v>
      </c>
      <c r="C231" s="117" t="s">
        <v>200</v>
      </c>
      <c r="D231" s="178">
        <f>4100+500</f>
        <v>4600</v>
      </c>
      <c r="E231" s="316"/>
      <c r="F231" s="316"/>
      <c r="G231" s="316"/>
      <c r="H231" s="178">
        <f>4100+500</f>
        <v>4600</v>
      </c>
      <c r="I231" s="178">
        <f>D231-H231</f>
        <v>0</v>
      </c>
      <c r="J231" s="351">
        <f t="shared" si="4"/>
        <v>0</v>
      </c>
      <c r="K231" s="316"/>
    </row>
    <row r="232" spans="1:11" s="1" customFormat="1" ht="25.5">
      <c r="A232" s="46" t="s">
        <v>691</v>
      </c>
      <c r="B232" s="117" t="s">
        <v>690</v>
      </c>
      <c r="C232" s="117"/>
      <c r="D232" s="178">
        <f>D233</f>
        <v>4209.5</v>
      </c>
      <c r="E232" s="316"/>
      <c r="F232" s="316"/>
      <c r="G232" s="316"/>
      <c r="H232" s="178">
        <f>H233</f>
        <v>4872.8</v>
      </c>
      <c r="I232" s="178">
        <f>I233</f>
        <v>-663.3000000000002</v>
      </c>
      <c r="J232" s="351">
        <f t="shared" si="4"/>
        <v>-663.3000000000002</v>
      </c>
      <c r="K232" s="316"/>
    </row>
    <row r="233" spans="1:11" s="1" customFormat="1" ht="12.75">
      <c r="A233" s="63" t="s">
        <v>227</v>
      </c>
      <c r="B233" s="117" t="s">
        <v>690</v>
      </c>
      <c r="C233" s="117" t="s">
        <v>199</v>
      </c>
      <c r="D233" s="178">
        <f>SUM(D234)</f>
        <v>4209.5</v>
      </c>
      <c r="E233" s="316"/>
      <c r="F233" s="316"/>
      <c r="G233" s="316"/>
      <c r="H233" s="178">
        <f>SUM(H234)</f>
        <v>4872.8</v>
      </c>
      <c r="I233" s="178">
        <f>SUM(I234)</f>
        <v>-663.3000000000002</v>
      </c>
      <c r="J233" s="351">
        <f t="shared" si="4"/>
        <v>-663.3000000000002</v>
      </c>
      <c r="K233" s="316"/>
    </row>
    <row r="234" spans="1:11" s="1" customFormat="1" ht="12.75">
      <c r="A234" s="64" t="s">
        <v>179</v>
      </c>
      <c r="B234" s="117" t="s">
        <v>690</v>
      </c>
      <c r="C234" s="117" t="s">
        <v>200</v>
      </c>
      <c r="D234" s="178">
        <f>4872.8-663.3</f>
        <v>4209.5</v>
      </c>
      <c r="E234" s="316"/>
      <c r="F234" s="316"/>
      <c r="G234" s="316"/>
      <c r="H234" s="178">
        <v>4872.8</v>
      </c>
      <c r="I234" s="178">
        <f>D234-H234</f>
        <v>-663.3000000000002</v>
      </c>
      <c r="J234" s="351">
        <f t="shared" si="4"/>
        <v>-663.3000000000002</v>
      </c>
      <c r="K234" s="316"/>
    </row>
    <row r="235" spans="1:11" s="1" customFormat="1" ht="28.5" customHeight="1">
      <c r="A235" s="46" t="s">
        <v>497</v>
      </c>
      <c r="B235" s="117" t="s">
        <v>496</v>
      </c>
      <c r="C235" s="117"/>
      <c r="D235" s="178">
        <f>D236</f>
        <v>4022</v>
      </c>
      <c r="E235" s="316"/>
      <c r="F235" s="316"/>
      <c r="G235" s="316"/>
      <c r="H235" s="178">
        <f>H236</f>
        <v>4022</v>
      </c>
      <c r="I235" s="178">
        <f>I236</f>
        <v>0</v>
      </c>
      <c r="J235" s="351">
        <f t="shared" si="4"/>
        <v>0</v>
      </c>
      <c r="K235" s="316"/>
    </row>
    <row r="236" spans="1:11" s="1" customFormat="1" ht="12.75">
      <c r="A236" s="60" t="s">
        <v>226</v>
      </c>
      <c r="B236" s="117" t="s">
        <v>496</v>
      </c>
      <c r="C236" s="117" t="s">
        <v>188</v>
      </c>
      <c r="D236" s="178">
        <f>SUM(D237)</f>
        <v>4022</v>
      </c>
      <c r="E236" s="316"/>
      <c r="F236" s="316"/>
      <c r="G236" s="316"/>
      <c r="H236" s="178">
        <f>SUM(H237)</f>
        <v>4022</v>
      </c>
      <c r="I236" s="178">
        <f>SUM(I237)</f>
        <v>0</v>
      </c>
      <c r="J236" s="351">
        <f t="shared" si="4"/>
        <v>0</v>
      </c>
      <c r="K236" s="316"/>
    </row>
    <row r="237" spans="1:11" s="1" customFormat="1" ht="12.75">
      <c r="A237" s="60" t="s">
        <v>189</v>
      </c>
      <c r="B237" s="117" t="s">
        <v>496</v>
      </c>
      <c r="C237" s="117" t="s">
        <v>187</v>
      </c>
      <c r="D237" s="178">
        <v>4022</v>
      </c>
      <c r="E237" s="316"/>
      <c r="F237" s="316"/>
      <c r="G237" s="316"/>
      <c r="H237" s="178">
        <v>4022</v>
      </c>
      <c r="I237" s="178">
        <f>D237-H237</f>
        <v>0</v>
      </c>
      <c r="J237" s="351">
        <f t="shared" si="4"/>
        <v>0</v>
      </c>
      <c r="K237" s="316"/>
    </row>
    <row r="238" spans="1:11" s="1" customFormat="1" ht="25.5">
      <c r="A238" s="129" t="s">
        <v>491</v>
      </c>
      <c r="B238" s="127" t="s">
        <v>83</v>
      </c>
      <c r="C238" s="134"/>
      <c r="D238" s="177">
        <f>D239+D244+D247</f>
        <v>753.6</v>
      </c>
      <c r="E238" s="316"/>
      <c r="F238" s="316"/>
      <c r="G238" s="316"/>
      <c r="H238" s="177">
        <f>H239+H244+H247</f>
        <v>753.6</v>
      </c>
      <c r="I238" s="177">
        <f>I239+I244+I247</f>
        <v>0</v>
      </c>
      <c r="J238" s="351">
        <f t="shared" si="4"/>
        <v>0</v>
      </c>
      <c r="K238" s="316"/>
    </row>
    <row r="239" spans="1:11" s="1" customFormat="1" ht="20.25" customHeight="1">
      <c r="A239" s="161" t="s">
        <v>94</v>
      </c>
      <c r="B239" s="117" t="s">
        <v>348</v>
      </c>
      <c r="C239" s="117"/>
      <c r="D239" s="178">
        <f>D240+D242</f>
        <v>40</v>
      </c>
      <c r="E239" s="316"/>
      <c r="F239" s="316"/>
      <c r="G239" s="316"/>
      <c r="H239" s="178">
        <f>H240+H242</f>
        <v>40</v>
      </c>
      <c r="I239" s="178">
        <f>I240+I242</f>
        <v>0</v>
      </c>
      <c r="J239" s="351">
        <f t="shared" si="4"/>
        <v>0</v>
      </c>
      <c r="K239" s="316"/>
    </row>
    <row r="240" spans="1:11" s="4" customFormat="1" ht="12.75">
      <c r="A240" s="60" t="s">
        <v>226</v>
      </c>
      <c r="B240" s="117" t="s">
        <v>348</v>
      </c>
      <c r="C240" s="117" t="s">
        <v>188</v>
      </c>
      <c r="D240" s="178">
        <f>D241</f>
        <v>5</v>
      </c>
      <c r="E240" s="317"/>
      <c r="F240" s="317"/>
      <c r="G240" s="317"/>
      <c r="H240" s="178">
        <f>H241</f>
        <v>5</v>
      </c>
      <c r="I240" s="178">
        <f>I241</f>
        <v>0</v>
      </c>
      <c r="J240" s="351">
        <f t="shared" si="4"/>
        <v>0</v>
      </c>
      <c r="K240" s="317"/>
    </row>
    <row r="241" spans="1:11" s="4" customFormat="1" ht="12.75">
      <c r="A241" s="60" t="s">
        <v>189</v>
      </c>
      <c r="B241" s="117" t="s">
        <v>348</v>
      </c>
      <c r="C241" s="117" t="s">
        <v>187</v>
      </c>
      <c r="D241" s="178">
        <v>5</v>
      </c>
      <c r="E241" s="317"/>
      <c r="F241" s="317"/>
      <c r="G241" s="317"/>
      <c r="H241" s="178">
        <v>5</v>
      </c>
      <c r="I241" s="178">
        <f>D241-H241</f>
        <v>0</v>
      </c>
      <c r="J241" s="351">
        <f t="shared" si="4"/>
        <v>0</v>
      </c>
      <c r="K241" s="317"/>
    </row>
    <row r="242" spans="1:11" s="4" customFormat="1" ht="25.5">
      <c r="A242" s="63" t="s">
        <v>190</v>
      </c>
      <c r="B242" s="117" t="s">
        <v>348</v>
      </c>
      <c r="C242" s="117" t="s">
        <v>178</v>
      </c>
      <c r="D242" s="178">
        <f>D243</f>
        <v>35</v>
      </c>
      <c r="E242" s="317"/>
      <c r="F242" s="317"/>
      <c r="G242" s="317"/>
      <c r="H242" s="178">
        <f>H243</f>
        <v>35</v>
      </c>
      <c r="I242" s="178">
        <f>I243</f>
        <v>0</v>
      </c>
      <c r="J242" s="351">
        <f t="shared" si="4"/>
        <v>0</v>
      </c>
      <c r="K242" s="317"/>
    </row>
    <row r="243" spans="1:11" s="4" customFormat="1" ht="12.75">
      <c r="A243" s="50" t="s">
        <v>191</v>
      </c>
      <c r="B243" s="117" t="s">
        <v>348</v>
      </c>
      <c r="C243" s="117" t="s">
        <v>192</v>
      </c>
      <c r="D243" s="178">
        <v>35</v>
      </c>
      <c r="E243" s="317"/>
      <c r="F243" s="317"/>
      <c r="G243" s="317"/>
      <c r="H243" s="178">
        <v>35</v>
      </c>
      <c r="I243" s="178">
        <f>D243-H243</f>
        <v>0</v>
      </c>
      <c r="J243" s="351">
        <f t="shared" si="4"/>
        <v>0</v>
      </c>
      <c r="K243" s="317"/>
    </row>
    <row r="244" spans="1:11" s="4" customFormat="1" ht="38.25">
      <c r="A244" s="78" t="s">
        <v>577</v>
      </c>
      <c r="B244" s="117" t="s">
        <v>578</v>
      </c>
      <c r="C244" s="117"/>
      <c r="D244" s="178">
        <f>D245</f>
        <v>693.6</v>
      </c>
      <c r="E244" s="317"/>
      <c r="F244" s="317"/>
      <c r="G244" s="317"/>
      <c r="H244" s="178">
        <f>H245</f>
        <v>693.6</v>
      </c>
      <c r="I244" s="178">
        <f>I245</f>
        <v>0</v>
      </c>
      <c r="J244" s="351">
        <f t="shared" si="4"/>
        <v>0</v>
      </c>
      <c r="K244" s="317"/>
    </row>
    <row r="245" spans="1:11" s="4" customFormat="1" ht="12.75">
      <c r="A245" s="60" t="s">
        <v>226</v>
      </c>
      <c r="B245" s="117" t="s">
        <v>578</v>
      </c>
      <c r="C245" s="117" t="s">
        <v>188</v>
      </c>
      <c r="D245" s="178">
        <f>D246</f>
        <v>693.6</v>
      </c>
      <c r="E245" s="317"/>
      <c r="F245" s="317"/>
      <c r="G245" s="317"/>
      <c r="H245" s="178">
        <f>H246</f>
        <v>693.6</v>
      </c>
      <c r="I245" s="178">
        <f>I246</f>
        <v>0</v>
      </c>
      <c r="J245" s="351">
        <f t="shared" si="4"/>
        <v>0</v>
      </c>
      <c r="K245" s="317"/>
    </row>
    <row r="246" spans="1:11" s="4" customFormat="1" ht="12.75">
      <c r="A246" s="60" t="s">
        <v>189</v>
      </c>
      <c r="B246" s="117" t="s">
        <v>578</v>
      </c>
      <c r="C246" s="117" t="s">
        <v>187</v>
      </c>
      <c r="D246" s="178">
        <v>693.6</v>
      </c>
      <c r="E246" s="317"/>
      <c r="F246" s="317"/>
      <c r="G246" s="317"/>
      <c r="H246" s="178">
        <v>693.6</v>
      </c>
      <c r="I246" s="178">
        <f>D246-H246</f>
        <v>0</v>
      </c>
      <c r="J246" s="351">
        <f t="shared" si="4"/>
        <v>0</v>
      </c>
      <c r="K246" s="317"/>
    </row>
    <row r="247" spans="1:11" s="4" customFormat="1" ht="25.5">
      <c r="A247" s="50" t="s">
        <v>579</v>
      </c>
      <c r="B247" s="117" t="s">
        <v>580</v>
      </c>
      <c r="C247" s="117"/>
      <c r="D247" s="178">
        <f>D248</f>
        <v>20</v>
      </c>
      <c r="E247" s="317"/>
      <c r="F247" s="317"/>
      <c r="G247" s="317"/>
      <c r="H247" s="178">
        <f>H248</f>
        <v>20</v>
      </c>
      <c r="I247" s="178">
        <f>I248</f>
        <v>0</v>
      </c>
      <c r="J247" s="351">
        <f t="shared" si="4"/>
        <v>0</v>
      </c>
      <c r="K247" s="317"/>
    </row>
    <row r="248" spans="1:11" s="4" customFormat="1" ht="12.75">
      <c r="A248" s="60" t="s">
        <v>226</v>
      </c>
      <c r="B248" s="117" t="s">
        <v>580</v>
      </c>
      <c r="C248" s="117" t="s">
        <v>188</v>
      </c>
      <c r="D248" s="178">
        <f>D249</f>
        <v>20</v>
      </c>
      <c r="E248" s="317"/>
      <c r="F248" s="317"/>
      <c r="G248" s="317"/>
      <c r="H248" s="178">
        <f>H249</f>
        <v>20</v>
      </c>
      <c r="I248" s="178">
        <f>I249</f>
        <v>0</v>
      </c>
      <c r="J248" s="351">
        <f t="shared" si="4"/>
        <v>0</v>
      </c>
      <c r="K248" s="317"/>
    </row>
    <row r="249" spans="1:11" s="4" customFormat="1" ht="12.75">
      <c r="A249" s="60" t="s">
        <v>189</v>
      </c>
      <c r="B249" s="117" t="s">
        <v>580</v>
      </c>
      <c r="C249" s="117" t="s">
        <v>187</v>
      </c>
      <c r="D249" s="178">
        <v>20</v>
      </c>
      <c r="E249" s="317"/>
      <c r="F249" s="317"/>
      <c r="G249" s="317"/>
      <c r="H249" s="178">
        <v>20</v>
      </c>
      <c r="I249" s="178">
        <f>D249-H249</f>
        <v>0</v>
      </c>
      <c r="J249" s="351">
        <f t="shared" si="4"/>
        <v>0</v>
      </c>
      <c r="K249" s="317"/>
    </row>
    <row r="250" spans="1:11" s="1" customFormat="1" ht="12.75">
      <c r="A250" s="130" t="s">
        <v>493</v>
      </c>
      <c r="B250" s="127" t="s">
        <v>54</v>
      </c>
      <c r="C250" s="127"/>
      <c r="D250" s="177">
        <f>D251+D274+D258+D262</f>
        <v>5866.1</v>
      </c>
      <c r="E250" s="351">
        <f>D250-D253</f>
        <v>2553.0000000000005</v>
      </c>
      <c r="F250" s="316"/>
      <c r="G250" s="316"/>
      <c r="H250" s="177">
        <f>H251+H274+H258+H262</f>
        <v>5866.1</v>
      </c>
      <c r="I250" s="177">
        <f>I251+I274+I258+I262</f>
        <v>0</v>
      </c>
      <c r="J250" s="351">
        <f t="shared" si="4"/>
        <v>0</v>
      </c>
      <c r="K250" s="316"/>
    </row>
    <row r="251" spans="1:11" s="1" customFormat="1" ht="38.25">
      <c r="A251" s="174" t="s">
        <v>401</v>
      </c>
      <c r="B251" s="116" t="s">
        <v>310</v>
      </c>
      <c r="C251" s="116"/>
      <c r="D251" s="184">
        <f>D252</f>
        <v>3733.1</v>
      </c>
      <c r="E251" s="316"/>
      <c r="F251" s="316"/>
      <c r="G251" s="316"/>
      <c r="H251" s="184">
        <f>H252</f>
        <v>3733.1</v>
      </c>
      <c r="I251" s="184">
        <f>I252</f>
        <v>0</v>
      </c>
      <c r="J251" s="351">
        <f t="shared" si="4"/>
        <v>0</v>
      </c>
      <c r="K251" s="316"/>
    </row>
    <row r="252" spans="1:11" s="3" customFormat="1" ht="12.75">
      <c r="A252" s="50" t="s">
        <v>106</v>
      </c>
      <c r="B252" s="115" t="s">
        <v>400</v>
      </c>
      <c r="C252" s="145"/>
      <c r="D252" s="184">
        <f>D253+D256</f>
        <v>3733.1</v>
      </c>
      <c r="E252" s="318"/>
      <c r="F252" s="318"/>
      <c r="G252" s="318"/>
      <c r="H252" s="184">
        <f>H253+H256</f>
        <v>3733.1</v>
      </c>
      <c r="I252" s="184">
        <f>I253+I256</f>
        <v>0</v>
      </c>
      <c r="J252" s="351">
        <f t="shared" si="4"/>
        <v>0</v>
      </c>
      <c r="K252" s="318"/>
    </row>
    <row r="253" spans="1:11" s="1" customFormat="1" ht="38.25">
      <c r="A253" s="60" t="s">
        <v>116</v>
      </c>
      <c r="B253" s="115" t="s">
        <v>400</v>
      </c>
      <c r="C253" s="115" t="s">
        <v>198</v>
      </c>
      <c r="D253" s="178">
        <f>D254</f>
        <v>3313.1</v>
      </c>
      <c r="E253" s="316"/>
      <c r="F253" s="316"/>
      <c r="G253" s="316"/>
      <c r="H253" s="178">
        <f>H254</f>
        <v>3313.1</v>
      </c>
      <c r="I253" s="178">
        <f>I254</f>
        <v>0</v>
      </c>
      <c r="J253" s="351">
        <f t="shared" si="4"/>
        <v>0</v>
      </c>
      <c r="K253" s="316"/>
    </row>
    <row r="254" spans="1:11" s="1" customFormat="1" ht="12.75">
      <c r="A254" s="60" t="s">
        <v>255</v>
      </c>
      <c r="B254" s="115" t="s">
        <v>400</v>
      </c>
      <c r="C254" s="115" t="s">
        <v>254</v>
      </c>
      <c r="D254" s="178">
        <f>3047.1+266</f>
        <v>3313.1</v>
      </c>
      <c r="E254" s="316"/>
      <c r="F254" s="316"/>
      <c r="G254" s="316"/>
      <c r="H254" s="178">
        <f>3047.1+266</f>
        <v>3313.1</v>
      </c>
      <c r="I254" s="178">
        <f>D254-H254</f>
        <v>0</v>
      </c>
      <c r="J254" s="351">
        <f t="shared" si="4"/>
        <v>0</v>
      </c>
      <c r="K254" s="316"/>
    </row>
    <row r="255" spans="1:11" s="1" customFormat="1" ht="25.5">
      <c r="A255" s="60" t="s">
        <v>645</v>
      </c>
      <c r="B255" s="117" t="s">
        <v>611</v>
      </c>
      <c r="C255" s="115"/>
      <c r="D255" s="178">
        <f>D256</f>
        <v>420</v>
      </c>
      <c r="E255" s="316"/>
      <c r="F255" s="316"/>
      <c r="G255" s="316"/>
      <c r="H255" s="178">
        <f>H256</f>
        <v>420</v>
      </c>
      <c r="I255" s="178">
        <f>I256</f>
        <v>0</v>
      </c>
      <c r="J255" s="351">
        <f t="shared" si="4"/>
        <v>0</v>
      </c>
      <c r="K255" s="316"/>
    </row>
    <row r="256" spans="1:11" s="1" customFormat="1" ht="12.75">
      <c r="A256" s="60" t="s">
        <v>226</v>
      </c>
      <c r="B256" s="117" t="s">
        <v>611</v>
      </c>
      <c r="C256" s="117" t="s">
        <v>188</v>
      </c>
      <c r="D256" s="178">
        <f>D257</f>
        <v>420</v>
      </c>
      <c r="E256" s="316"/>
      <c r="F256" s="316"/>
      <c r="G256" s="316"/>
      <c r="H256" s="178">
        <f>H257</f>
        <v>420</v>
      </c>
      <c r="I256" s="178">
        <f>I257</f>
        <v>0</v>
      </c>
      <c r="J256" s="351">
        <f t="shared" si="4"/>
        <v>0</v>
      </c>
      <c r="K256" s="316"/>
    </row>
    <row r="257" spans="1:11" s="1" customFormat="1" ht="12.75">
      <c r="A257" s="60" t="s">
        <v>189</v>
      </c>
      <c r="B257" s="117" t="s">
        <v>611</v>
      </c>
      <c r="C257" s="117" t="s">
        <v>187</v>
      </c>
      <c r="D257" s="178">
        <f>20+400</f>
        <v>420</v>
      </c>
      <c r="E257" s="316"/>
      <c r="F257" s="316"/>
      <c r="G257" s="316"/>
      <c r="H257" s="178">
        <f>20+400</f>
        <v>420</v>
      </c>
      <c r="I257" s="178">
        <f>D257-H257</f>
        <v>0</v>
      </c>
      <c r="J257" s="351">
        <f t="shared" si="4"/>
        <v>0</v>
      </c>
      <c r="K257" s="316"/>
    </row>
    <row r="258" spans="1:11" s="1" customFormat="1" ht="12.75">
      <c r="A258" s="155" t="s">
        <v>565</v>
      </c>
      <c r="B258" s="162" t="s">
        <v>566</v>
      </c>
      <c r="C258" s="117"/>
      <c r="D258" s="178">
        <f>D259</f>
        <v>70</v>
      </c>
      <c r="E258" s="316"/>
      <c r="F258" s="316"/>
      <c r="G258" s="316"/>
      <c r="H258" s="178">
        <f aca="true" t="shared" si="7" ref="H258:I260">H259</f>
        <v>70</v>
      </c>
      <c r="I258" s="178">
        <f t="shared" si="7"/>
        <v>0</v>
      </c>
      <c r="J258" s="351">
        <f t="shared" si="4"/>
        <v>0</v>
      </c>
      <c r="K258" s="316"/>
    </row>
    <row r="259" spans="1:11" s="1" customFormat="1" ht="25.5">
      <c r="A259" s="140" t="s">
        <v>642</v>
      </c>
      <c r="B259" s="115" t="s">
        <v>567</v>
      </c>
      <c r="C259" s="117"/>
      <c r="D259" s="178">
        <f>D260</f>
        <v>70</v>
      </c>
      <c r="E259" s="316"/>
      <c r="F259" s="316"/>
      <c r="G259" s="316"/>
      <c r="H259" s="178">
        <f t="shared" si="7"/>
        <v>70</v>
      </c>
      <c r="I259" s="178">
        <f t="shared" si="7"/>
        <v>0</v>
      </c>
      <c r="J259" s="351">
        <f t="shared" si="4"/>
        <v>0</v>
      </c>
      <c r="K259" s="316"/>
    </row>
    <row r="260" spans="1:11" s="1" customFormat="1" ht="12.75">
      <c r="A260" s="84" t="s">
        <v>226</v>
      </c>
      <c r="B260" s="115" t="s">
        <v>567</v>
      </c>
      <c r="C260" s="117" t="s">
        <v>188</v>
      </c>
      <c r="D260" s="178">
        <f>D261</f>
        <v>70</v>
      </c>
      <c r="E260" s="316"/>
      <c r="F260" s="316"/>
      <c r="G260" s="316"/>
      <c r="H260" s="178">
        <f t="shared" si="7"/>
        <v>70</v>
      </c>
      <c r="I260" s="178">
        <f t="shared" si="7"/>
        <v>0</v>
      </c>
      <c r="J260" s="351">
        <f t="shared" si="4"/>
        <v>0</v>
      </c>
      <c r="K260" s="316"/>
    </row>
    <row r="261" spans="1:11" s="1" customFormat="1" ht="12.75">
      <c r="A261" s="84" t="s">
        <v>189</v>
      </c>
      <c r="B261" s="115" t="s">
        <v>567</v>
      </c>
      <c r="C261" s="117" t="s">
        <v>187</v>
      </c>
      <c r="D261" s="178">
        <v>70</v>
      </c>
      <c r="E261" s="316"/>
      <c r="F261" s="316"/>
      <c r="G261" s="316"/>
      <c r="H261" s="178">
        <v>70</v>
      </c>
      <c r="I261" s="178">
        <f>D261-H261</f>
        <v>0</v>
      </c>
      <c r="J261" s="351">
        <f t="shared" si="4"/>
        <v>0</v>
      </c>
      <c r="K261" s="316"/>
    </row>
    <row r="262" spans="1:11" s="1" customFormat="1" ht="12.75">
      <c r="A262" s="155" t="s">
        <v>569</v>
      </c>
      <c r="B262" s="162" t="s">
        <v>573</v>
      </c>
      <c r="C262" s="117"/>
      <c r="D262" s="178">
        <f>D263+D268+D271</f>
        <v>1763</v>
      </c>
      <c r="E262" s="316"/>
      <c r="F262" s="316"/>
      <c r="G262" s="316"/>
      <c r="H262" s="178">
        <f>H263+H268+H271</f>
        <v>1763</v>
      </c>
      <c r="I262" s="178">
        <f>I263+I268+I271</f>
        <v>0</v>
      </c>
      <c r="J262" s="351">
        <f aca="true" t="shared" si="8" ref="J262:J325">D262-H262</f>
        <v>0</v>
      </c>
      <c r="K262" s="316"/>
    </row>
    <row r="263" spans="1:11" s="1" customFormat="1" ht="12.75">
      <c r="A263" s="140" t="s">
        <v>570</v>
      </c>
      <c r="B263" s="115" t="s">
        <v>574</v>
      </c>
      <c r="C263" s="117"/>
      <c r="D263" s="178">
        <f>D264+D266</f>
        <v>1123</v>
      </c>
      <c r="E263" s="316"/>
      <c r="F263" s="316"/>
      <c r="G263" s="316"/>
      <c r="H263" s="178">
        <f>H264+H266</f>
        <v>1123</v>
      </c>
      <c r="I263" s="178">
        <f>I264+I266</f>
        <v>0</v>
      </c>
      <c r="J263" s="351">
        <f t="shared" si="8"/>
        <v>0</v>
      </c>
      <c r="K263" s="316"/>
    </row>
    <row r="264" spans="1:11" s="1" customFormat="1" ht="38.25">
      <c r="A264" s="84" t="s">
        <v>116</v>
      </c>
      <c r="B264" s="115" t="s">
        <v>574</v>
      </c>
      <c r="C264" s="119" t="s">
        <v>198</v>
      </c>
      <c r="D264" s="178">
        <f>D265</f>
        <v>40</v>
      </c>
      <c r="E264" s="316"/>
      <c r="F264" s="316"/>
      <c r="G264" s="316"/>
      <c r="H264" s="178">
        <f>H265</f>
        <v>40</v>
      </c>
      <c r="I264" s="178">
        <f>I265</f>
        <v>0</v>
      </c>
      <c r="J264" s="351">
        <f t="shared" si="8"/>
        <v>0</v>
      </c>
      <c r="K264" s="316"/>
    </row>
    <row r="265" spans="1:11" s="1" customFormat="1" ht="12.75">
      <c r="A265" s="84" t="s">
        <v>193</v>
      </c>
      <c r="B265" s="115" t="s">
        <v>574</v>
      </c>
      <c r="C265" s="119" t="s">
        <v>194</v>
      </c>
      <c r="D265" s="178">
        <v>40</v>
      </c>
      <c r="E265" s="316"/>
      <c r="F265" s="316"/>
      <c r="G265" s="316"/>
      <c r="H265" s="178">
        <v>40</v>
      </c>
      <c r="I265" s="178">
        <f>D265-H265</f>
        <v>0</v>
      </c>
      <c r="J265" s="351">
        <f t="shared" si="8"/>
        <v>0</v>
      </c>
      <c r="K265" s="316"/>
    </row>
    <row r="266" spans="1:11" s="1" customFormat="1" ht="12.75">
      <c r="A266" s="84" t="s">
        <v>226</v>
      </c>
      <c r="B266" s="115" t="s">
        <v>574</v>
      </c>
      <c r="C266" s="119" t="s">
        <v>188</v>
      </c>
      <c r="D266" s="178">
        <f>D267</f>
        <v>1083</v>
      </c>
      <c r="E266" s="316"/>
      <c r="F266" s="316"/>
      <c r="G266" s="316"/>
      <c r="H266" s="178">
        <f>H267</f>
        <v>1083</v>
      </c>
      <c r="I266" s="178">
        <f>I267</f>
        <v>0</v>
      </c>
      <c r="J266" s="351">
        <f t="shared" si="8"/>
        <v>0</v>
      </c>
      <c r="K266" s="316"/>
    </row>
    <row r="267" spans="1:11" s="1" customFormat="1" ht="12.75">
      <c r="A267" s="84" t="s">
        <v>189</v>
      </c>
      <c r="B267" s="115" t="s">
        <v>574</v>
      </c>
      <c r="C267" s="119" t="s">
        <v>187</v>
      </c>
      <c r="D267" s="178">
        <v>1083</v>
      </c>
      <c r="E267" s="316"/>
      <c r="F267" s="316"/>
      <c r="G267" s="316"/>
      <c r="H267" s="178">
        <v>1083</v>
      </c>
      <c r="I267" s="178">
        <f>D267-H267</f>
        <v>0</v>
      </c>
      <c r="J267" s="351">
        <f t="shared" si="8"/>
        <v>0</v>
      </c>
      <c r="K267" s="316"/>
    </row>
    <row r="268" spans="1:11" s="1" customFormat="1" ht="12.75">
      <c r="A268" s="140" t="s">
        <v>571</v>
      </c>
      <c r="B268" s="115" t="s">
        <v>575</v>
      </c>
      <c r="C268" s="119"/>
      <c r="D268" s="178">
        <f>D269</f>
        <v>600</v>
      </c>
      <c r="E268" s="316"/>
      <c r="F268" s="316"/>
      <c r="G268" s="316"/>
      <c r="H268" s="178">
        <f>H269</f>
        <v>600</v>
      </c>
      <c r="I268" s="178">
        <f>I269</f>
        <v>0</v>
      </c>
      <c r="J268" s="351">
        <f t="shared" si="8"/>
        <v>0</v>
      </c>
      <c r="K268" s="316"/>
    </row>
    <row r="269" spans="1:11" s="1" customFormat="1" ht="12.75">
      <c r="A269" s="84" t="s">
        <v>226</v>
      </c>
      <c r="B269" s="115" t="s">
        <v>575</v>
      </c>
      <c r="C269" s="119" t="s">
        <v>188</v>
      </c>
      <c r="D269" s="178">
        <f>D270</f>
        <v>600</v>
      </c>
      <c r="E269" s="316"/>
      <c r="F269" s="316"/>
      <c r="G269" s="316"/>
      <c r="H269" s="178">
        <f>H270</f>
        <v>600</v>
      </c>
      <c r="I269" s="178">
        <f>I270</f>
        <v>0</v>
      </c>
      <c r="J269" s="351">
        <f t="shared" si="8"/>
        <v>0</v>
      </c>
      <c r="K269" s="316"/>
    </row>
    <row r="270" spans="1:11" s="1" customFormat="1" ht="12.75">
      <c r="A270" s="84" t="s">
        <v>189</v>
      </c>
      <c r="B270" s="115" t="s">
        <v>575</v>
      </c>
      <c r="C270" s="119" t="s">
        <v>187</v>
      </c>
      <c r="D270" s="178">
        <v>600</v>
      </c>
      <c r="E270" s="316"/>
      <c r="F270" s="316"/>
      <c r="G270" s="316"/>
      <c r="H270" s="178">
        <v>600</v>
      </c>
      <c r="I270" s="178">
        <f>D270-H270</f>
        <v>0</v>
      </c>
      <c r="J270" s="351">
        <f t="shared" si="8"/>
        <v>0</v>
      </c>
      <c r="K270" s="316"/>
    </row>
    <row r="271" spans="1:11" s="1" customFormat="1" ht="12.75">
      <c r="A271" s="140" t="s">
        <v>572</v>
      </c>
      <c r="B271" s="115" t="s">
        <v>576</v>
      </c>
      <c r="C271" s="119"/>
      <c r="D271" s="178">
        <f>D272</f>
        <v>40</v>
      </c>
      <c r="E271" s="316"/>
      <c r="F271" s="316"/>
      <c r="G271" s="316"/>
      <c r="H271" s="178">
        <f>H272</f>
        <v>40</v>
      </c>
      <c r="I271" s="178">
        <f>I272</f>
        <v>0</v>
      </c>
      <c r="J271" s="351">
        <f t="shared" si="8"/>
        <v>0</v>
      </c>
      <c r="K271" s="316"/>
    </row>
    <row r="272" spans="1:11" s="1" customFormat="1" ht="12.75">
      <c r="A272" s="63" t="s">
        <v>89</v>
      </c>
      <c r="B272" s="115" t="s">
        <v>576</v>
      </c>
      <c r="C272" s="119" t="s">
        <v>85</v>
      </c>
      <c r="D272" s="178">
        <f>D273</f>
        <v>40</v>
      </c>
      <c r="E272" s="316"/>
      <c r="F272" s="316"/>
      <c r="G272" s="316"/>
      <c r="H272" s="178">
        <f>H273</f>
        <v>40</v>
      </c>
      <c r="I272" s="178">
        <f>I273</f>
        <v>0</v>
      </c>
      <c r="J272" s="351">
        <f t="shared" si="8"/>
        <v>0</v>
      </c>
      <c r="K272" s="316"/>
    </row>
    <row r="273" spans="1:11" s="1" customFormat="1" ht="12.75">
      <c r="A273" s="46" t="s">
        <v>84</v>
      </c>
      <c r="B273" s="115" t="s">
        <v>576</v>
      </c>
      <c r="C273" s="119" t="s">
        <v>86</v>
      </c>
      <c r="D273" s="178">
        <v>40</v>
      </c>
      <c r="E273" s="316"/>
      <c r="F273" s="316"/>
      <c r="G273" s="316"/>
      <c r="H273" s="178">
        <v>40</v>
      </c>
      <c r="I273" s="178">
        <f>D273-H273</f>
        <v>0</v>
      </c>
      <c r="J273" s="351">
        <f t="shared" si="8"/>
        <v>0</v>
      </c>
      <c r="K273" s="316"/>
    </row>
    <row r="274" spans="1:11" s="1" customFormat="1" ht="12.75">
      <c r="A274" s="53" t="s">
        <v>402</v>
      </c>
      <c r="B274" s="116" t="s">
        <v>56</v>
      </c>
      <c r="C274" s="116"/>
      <c r="D274" s="184">
        <f>D275</f>
        <v>300</v>
      </c>
      <c r="E274" s="316"/>
      <c r="F274" s="316"/>
      <c r="G274" s="316"/>
      <c r="H274" s="184">
        <f>H275</f>
        <v>300</v>
      </c>
      <c r="I274" s="184">
        <f>I275</f>
        <v>0</v>
      </c>
      <c r="J274" s="351">
        <f t="shared" si="8"/>
        <v>0</v>
      </c>
      <c r="K274" s="316"/>
    </row>
    <row r="275" spans="1:11" s="1" customFormat="1" ht="12.75">
      <c r="A275" s="164" t="s">
        <v>58</v>
      </c>
      <c r="B275" s="117" t="s">
        <v>57</v>
      </c>
      <c r="C275" s="117"/>
      <c r="D275" s="178">
        <f>SUM(D276)</f>
        <v>300</v>
      </c>
      <c r="E275" s="316"/>
      <c r="F275" s="316"/>
      <c r="G275" s="316"/>
      <c r="H275" s="178">
        <f>SUM(H276)</f>
        <v>300</v>
      </c>
      <c r="I275" s="178">
        <f>SUM(I276)</f>
        <v>0</v>
      </c>
      <c r="J275" s="351">
        <f t="shared" si="8"/>
        <v>0</v>
      </c>
      <c r="K275" s="316"/>
    </row>
    <row r="276" spans="1:11" s="1" customFormat="1" ht="12.75">
      <c r="A276" s="60" t="s">
        <v>226</v>
      </c>
      <c r="B276" s="117" t="s">
        <v>57</v>
      </c>
      <c r="C276" s="117" t="s">
        <v>188</v>
      </c>
      <c r="D276" s="178">
        <f>D277</f>
        <v>300</v>
      </c>
      <c r="E276" s="316"/>
      <c r="F276" s="316"/>
      <c r="G276" s="316"/>
      <c r="H276" s="178">
        <f>H277</f>
        <v>300</v>
      </c>
      <c r="I276" s="178">
        <f>I277</f>
        <v>0</v>
      </c>
      <c r="J276" s="351">
        <f t="shared" si="8"/>
        <v>0</v>
      </c>
      <c r="K276" s="316"/>
    </row>
    <row r="277" spans="1:11" s="1" customFormat="1" ht="12.75">
      <c r="A277" s="60" t="s">
        <v>189</v>
      </c>
      <c r="B277" s="117" t="s">
        <v>57</v>
      </c>
      <c r="C277" s="117" t="s">
        <v>187</v>
      </c>
      <c r="D277" s="178">
        <v>300</v>
      </c>
      <c r="E277" s="316"/>
      <c r="F277" s="316"/>
      <c r="G277" s="316"/>
      <c r="H277" s="178">
        <v>300</v>
      </c>
      <c r="I277" s="178">
        <f>D277-H277</f>
        <v>0</v>
      </c>
      <c r="J277" s="351">
        <f t="shared" si="8"/>
        <v>0</v>
      </c>
      <c r="K277" s="316"/>
    </row>
    <row r="278" spans="1:11" s="1" customFormat="1" ht="25.5">
      <c r="A278" s="129" t="s">
        <v>594</v>
      </c>
      <c r="B278" s="127" t="s">
        <v>328</v>
      </c>
      <c r="C278" s="134"/>
      <c r="D278" s="177">
        <f>D279+D282+D285+D288</f>
        <v>31191.98</v>
      </c>
      <c r="E278" s="316"/>
      <c r="F278" s="316"/>
      <c r="G278" s="316"/>
      <c r="H278" s="177">
        <f>H279+H282+H285+H288</f>
        <v>31191.9</v>
      </c>
      <c r="I278" s="177">
        <f>I279+I282+I285+I288</f>
        <v>0.07999999999844931</v>
      </c>
      <c r="J278" s="351">
        <f t="shared" si="8"/>
        <v>0.07999999999810825</v>
      </c>
      <c r="K278" s="316"/>
    </row>
    <row r="279" spans="1:11" s="1" customFormat="1" ht="12.75">
      <c r="A279" s="46" t="s">
        <v>7</v>
      </c>
      <c r="B279" s="117" t="s">
        <v>458</v>
      </c>
      <c r="C279" s="117"/>
      <c r="D279" s="178">
        <f>D280</f>
        <v>798.434</v>
      </c>
      <c r="E279" s="316"/>
      <c r="F279" s="316"/>
      <c r="G279" s="316"/>
      <c r="H279" s="178">
        <f>H280</f>
        <v>798.4</v>
      </c>
      <c r="I279" s="178">
        <f>I280</f>
        <v>0.033999999999991815</v>
      </c>
      <c r="J279" s="351">
        <f t="shared" si="8"/>
        <v>0.033999999999991815</v>
      </c>
      <c r="K279" s="316"/>
    </row>
    <row r="280" spans="1:11" s="4" customFormat="1" ht="12.75">
      <c r="A280" s="60" t="s">
        <v>226</v>
      </c>
      <c r="B280" s="117" t="s">
        <v>458</v>
      </c>
      <c r="C280" s="117" t="s">
        <v>188</v>
      </c>
      <c r="D280" s="178">
        <f>D281</f>
        <v>798.434</v>
      </c>
      <c r="E280" s="317"/>
      <c r="F280" s="317"/>
      <c r="G280" s="317"/>
      <c r="H280" s="178">
        <f>H281</f>
        <v>798.4</v>
      </c>
      <c r="I280" s="178">
        <f>I281</f>
        <v>0.033999999999991815</v>
      </c>
      <c r="J280" s="351">
        <f t="shared" si="8"/>
        <v>0.033999999999991815</v>
      </c>
      <c r="K280" s="317"/>
    </row>
    <row r="281" spans="1:11" s="4" customFormat="1" ht="12.75">
      <c r="A281" s="60" t="s">
        <v>189</v>
      </c>
      <c r="B281" s="117" t="s">
        <v>458</v>
      </c>
      <c r="C281" s="117" t="s">
        <v>187</v>
      </c>
      <c r="D281" s="178">
        <v>798.434</v>
      </c>
      <c r="E281" s="317"/>
      <c r="F281" s="317"/>
      <c r="G281" s="317"/>
      <c r="H281" s="178">
        <f>170+400+228.4</f>
        <v>798.4</v>
      </c>
      <c r="I281" s="178">
        <f>D281-H281</f>
        <v>0.033999999999991815</v>
      </c>
      <c r="J281" s="351">
        <f t="shared" si="8"/>
        <v>0.033999999999991815</v>
      </c>
      <c r="K281" s="317"/>
    </row>
    <row r="282" spans="1:11" s="1" customFormat="1" ht="25.5">
      <c r="A282" s="46" t="s">
        <v>329</v>
      </c>
      <c r="B282" s="117" t="s">
        <v>330</v>
      </c>
      <c r="C282" s="117"/>
      <c r="D282" s="178">
        <f>D283</f>
        <v>2500</v>
      </c>
      <c r="E282" s="316"/>
      <c r="F282" s="316"/>
      <c r="G282" s="316"/>
      <c r="H282" s="178">
        <f>H283</f>
        <v>2500</v>
      </c>
      <c r="I282" s="178">
        <f>I283</f>
        <v>0</v>
      </c>
      <c r="J282" s="351">
        <f t="shared" si="8"/>
        <v>0</v>
      </c>
      <c r="K282" s="316"/>
    </row>
    <row r="283" spans="1:11" s="4" customFormat="1" ht="12.75">
      <c r="A283" s="60" t="s">
        <v>226</v>
      </c>
      <c r="B283" s="117" t="s">
        <v>330</v>
      </c>
      <c r="C283" s="117" t="s">
        <v>188</v>
      </c>
      <c r="D283" s="178">
        <f>D284</f>
        <v>2500</v>
      </c>
      <c r="E283" s="317"/>
      <c r="F283" s="317"/>
      <c r="G283" s="317"/>
      <c r="H283" s="178">
        <f>H284</f>
        <v>2500</v>
      </c>
      <c r="I283" s="178">
        <f>I284</f>
        <v>0</v>
      </c>
      <c r="J283" s="351">
        <f t="shared" si="8"/>
        <v>0</v>
      </c>
      <c r="K283" s="317"/>
    </row>
    <row r="284" spans="1:11" s="4" customFormat="1" ht="12.75">
      <c r="A284" s="60" t="s">
        <v>189</v>
      </c>
      <c r="B284" s="117" t="s">
        <v>330</v>
      </c>
      <c r="C284" s="117" t="s">
        <v>187</v>
      </c>
      <c r="D284" s="178">
        <v>2500</v>
      </c>
      <c r="E284" s="317"/>
      <c r="F284" s="317"/>
      <c r="G284" s="317"/>
      <c r="H284" s="178">
        <v>2500</v>
      </c>
      <c r="I284" s="178">
        <f>D284-H284</f>
        <v>0</v>
      </c>
      <c r="J284" s="351">
        <f t="shared" si="8"/>
        <v>0</v>
      </c>
      <c r="K284" s="317"/>
    </row>
    <row r="285" spans="1:11" s="1" customFormat="1" ht="12.75">
      <c r="A285" s="46" t="s">
        <v>455</v>
      </c>
      <c r="B285" s="117" t="s">
        <v>453</v>
      </c>
      <c r="C285" s="117"/>
      <c r="D285" s="178">
        <f>D286</f>
        <v>27493.546</v>
      </c>
      <c r="E285" s="316"/>
      <c r="F285" s="316"/>
      <c r="G285" s="316"/>
      <c r="H285" s="178">
        <f>H286</f>
        <v>27493.5</v>
      </c>
      <c r="I285" s="178">
        <f>I286</f>
        <v>0.0459999999984575</v>
      </c>
      <c r="J285" s="351">
        <f t="shared" si="8"/>
        <v>0.0459999999984575</v>
      </c>
      <c r="K285" s="316"/>
    </row>
    <row r="286" spans="1:11" s="4" customFormat="1" ht="12.75">
      <c r="A286" s="60" t="s">
        <v>226</v>
      </c>
      <c r="B286" s="117" t="s">
        <v>453</v>
      </c>
      <c r="C286" s="117" t="s">
        <v>188</v>
      </c>
      <c r="D286" s="178">
        <f>D287</f>
        <v>27493.546</v>
      </c>
      <c r="E286" s="317"/>
      <c r="F286" s="317"/>
      <c r="G286" s="317"/>
      <c r="H286" s="178">
        <f>H287</f>
        <v>27493.5</v>
      </c>
      <c r="I286" s="178">
        <f>I287</f>
        <v>0.0459999999984575</v>
      </c>
      <c r="J286" s="351">
        <f t="shared" si="8"/>
        <v>0.0459999999984575</v>
      </c>
      <c r="K286" s="317"/>
    </row>
    <row r="287" spans="1:11" s="4" customFormat="1" ht="12.75">
      <c r="A287" s="60" t="s">
        <v>189</v>
      </c>
      <c r="B287" s="117" t="s">
        <v>453</v>
      </c>
      <c r="C287" s="117" t="s">
        <v>187</v>
      </c>
      <c r="D287" s="178">
        <v>27493.546</v>
      </c>
      <c r="E287" s="317"/>
      <c r="F287" s="317"/>
      <c r="G287" s="317"/>
      <c r="H287" s="178">
        <f>6898.4+505.9-2000+22089.2</f>
        <v>27493.5</v>
      </c>
      <c r="I287" s="178">
        <f>D287-H287</f>
        <v>0.0459999999984575</v>
      </c>
      <c r="J287" s="351">
        <f t="shared" si="8"/>
        <v>0.0459999999984575</v>
      </c>
      <c r="K287" s="317"/>
    </row>
    <row r="288" spans="1:11" s="1" customFormat="1" ht="27.75" customHeight="1">
      <c r="A288" s="46" t="s">
        <v>456</v>
      </c>
      <c r="B288" s="117" t="s">
        <v>457</v>
      </c>
      <c r="C288" s="117"/>
      <c r="D288" s="178">
        <f>D289</f>
        <v>400</v>
      </c>
      <c r="E288" s="316"/>
      <c r="F288" s="316"/>
      <c r="G288" s="316"/>
      <c r="H288" s="178">
        <f>H289</f>
        <v>400</v>
      </c>
      <c r="I288" s="178">
        <f>I289</f>
        <v>0</v>
      </c>
      <c r="J288" s="351">
        <f t="shared" si="8"/>
        <v>0</v>
      </c>
      <c r="K288" s="316"/>
    </row>
    <row r="289" spans="1:11" s="4" customFormat="1" ht="12.75">
      <c r="A289" s="60" t="s">
        <v>226</v>
      </c>
      <c r="B289" s="117" t="s">
        <v>457</v>
      </c>
      <c r="C289" s="117" t="s">
        <v>188</v>
      </c>
      <c r="D289" s="178">
        <f>D290</f>
        <v>400</v>
      </c>
      <c r="E289" s="317"/>
      <c r="F289" s="317"/>
      <c r="G289" s="317"/>
      <c r="H289" s="178">
        <f>H290</f>
        <v>400</v>
      </c>
      <c r="I289" s="178">
        <f>I290</f>
        <v>0</v>
      </c>
      <c r="J289" s="351">
        <f t="shared" si="8"/>
        <v>0</v>
      </c>
      <c r="K289" s="317"/>
    </row>
    <row r="290" spans="1:11" s="4" customFormat="1" ht="12.75">
      <c r="A290" s="60" t="s">
        <v>189</v>
      </c>
      <c r="B290" s="117" t="s">
        <v>457</v>
      </c>
      <c r="C290" s="117" t="s">
        <v>187</v>
      </c>
      <c r="D290" s="178">
        <v>400</v>
      </c>
      <c r="E290" s="317"/>
      <c r="F290" s="317"/>
      <c r="G290" s="317"/>
      <c r="H290" s="178">
        <v>400</v>
      </c>
      <c r="I290" s="178">
        <f>D290-H290</f>
        <v>0</v>
      </c>
      <c r="J290" s="351">
        <f t="shared" si="8"/>
        <v>0</v>
      </c>
      <c r="K290" s="317"/>
    </row>
    <row r="291" spans="1:11" s="4" customFormat="1" ht="25.5">
      <c r="A291" s="128" t="s">
        <v>602</v>
      </c>
      <c r="B291" s="127" t="s">
        <v>38</v>
      </c>
      <c r="C291" s="127"/>
      <c r="D291" s="177">
        <f>D292+D301</f>
        <v>26186.1</v>
      </c>
      <c r="E291" s="317"/>
      <c r="F291" s="317"/>
      <c r="G291" s="317"/>
      <c r="H291" s="177">
        <f>H292+H301</f>
        <v>25522.8</v>
      </c>
      <c r="I291" s="177">
        <f>I292+I301</f>
        <v>663.3</v>
      </c>
      <c r="J291" s="351">
        <f t="shared" si="8"/>
        <v>663.2999999999993</v>
      </c>
      <c r="K291" s="317"/>
    </row>
    <row r="292" spans="1:11" s="4" customFormat="1" ht="25.5">
      <c r="A292" s="142" t="s">
        <v>549</v>
      </c>
      <c r="B292" s="116" t="s">
        <v>225</v>
      </c>
      <c r="C292" s="116"/>
      <c r="D292" s="184">
        <f>D293+D298</f>
        <v>3984.8</v>
      </c>
      <c r="E292" s="317"/>
      <c r="F292" s="317"/>
      <c r="G292" s="317"/>
      <c r="H292" s="184">
        <f>H293+H298</f>
        <v>3984.8</v>
      </c>
      <c r="I292" s="184">
        <f>I293+I298</f>
        <v>0</v>
      </c>
      <c r="J292" s="351">
        <f t="shared" si="8"/>
        <v>0</v>
      </c>
      <c r="K292" s="317"/>
    </row>
    <row r="293" spans="1:11" s="1" customFormat="1" ht="12.75">
      <c r="A293" s="64" t="s">
        <v>318</v>
      </c>
      <c r="B293" s="117" t="s">
        <v>39</v>
      </c>
      <c r="C293" s="117"/>
      <c r="D293" s="178">
        <f>D295+D297</f>
        <v>1584.8</v>
      </c>
      <c r="E293" s="316"/>
      <c r="F293" s="316"/>
      <c r="G293" s="316"/>
      <c r="H293" s="178">
        <f>H295+H297</f>
        <v>1584.8</v>
      </c>
      <c r="I293" s="178">
        <f>I295+I297</f>
        <v>0</v>
      </c>
      <c r="J293" s="351">
        <f t="shared" si="8"/>
        <v>0</v>
      </c>
      <c r="K293" s="316"/>
    </row>
    <row r="294" spans="1:10" ht="15.75">
      <c r="A294" s="60" t="s">
        <v>226</v>
      </c>
      <c r="B294" s="117" t="s">
        <v>39</v>
      </c>
      <c r="C294" s="117" t="s">
        <v>188</v>
      </c>
      <c r="D294" s="178">
        <f>D295</f>
        <v>1274.8</v>
      </c>
      <c r="H294" s="178">
        <f>H295</f>
        <v>1274.8</v>
      </c>
      <c r="I294" s="178">
        <f>I295</f>
        <v>0</v>
      </c>
      <c r="J294" s="351">
        <f t="shared" si="8"/>
        <v>0</v>
      </c>
    </row>
    <row r="295" spans="1:10" ht="15.75">
      <c r="A295" s="60" t="s">
        <v>189</v>
      </c>
      <c r="B295" s="117" t="s">
        <v>39</v>
      </c>
      <c r="C295" s="117" t="s">
        <v>187</v>
      </c>
      <c r="D295" s="178">
        <v>1274.8</v>
      </c>
      <c r="H295" s="178">
        <v>1274.8</v>
      </c>
      <c r="I295" s="178">
        <f>D295-H295</f>
        <v>0</v>
      </c>
      <c r="J295" s="351">
        <f t="shared" si="8"/>
        <v>0</v>
      </c>
    </row>
    <row r="296" spans="1:11" s="4" customFormat="1" ht="25.5">
      <c r="A296" s="64" t="s">
        <v>190</v>
      </c>
      <c r="B296" s="117" t="s">
        <v>39</v>
      </c>
      <c r="C296" s="117" t="s">
        <v>178</v>
      </c>
      <c r="D296" s="178">
        <f>D297</f>
        <v>310</v>
      </c>
      <c r="E296" s="317"/>
      <c r="F296" s="317"/>
      <c r="G296" s="317"/>
      <c r="H296" s="178">
        <f>H297</f>
        <v>310</v>
      </c>
      <c r="I296" s="178">
        <f>I297</f>
        <v>0</v>
      </c>
      <c r="J296" s="351">
        <f t="shared" si="8"/>
        <v>0</v>
      </c>
      <c r="K296" s="317"/>
    </row>
    <row r="297" spans="1:11" s="4" customFormat="1" ht="12.75">
      <c r="A297" s="64" t="s">
        <v>191</v>
      </c>
      <c r="B297" s="117" t="s">
        <v>39</v>
      </c>
      <c r="C297" s="117" t="s">
        <v>192</v>
      </c>
      <c r="D297" s="178">
        <v>310</v>
      </c>
      <c r="E297" s="317"/>
      <c r="F297" s="317"/>
      <c r="G297" s="317"/>
      <c r="H297" s="178">
        <v>310</v>
      </c>
      <c r="I297" s="178">
        <f>D297-H297</f>
        <v>0</v>
      </c>
      <c r="J297" s="351">
        <f t="shared" si="8"/>
        <v>0</v>
      </c>
      <c r="K297" s="317"/>
    </row>
    <row r="298" spans="1:11" s="4" customFormat="1" ht="18" customHeight="1">
      <c r="A298" s="64" t="s">
        <v>308</v>
      </c>
      <c r="B298" s="117" t="s">
        <v>265</v>
      </c>
      <c r="C298" s="117"/>
      <c r="D298" s="178">
        <f>D299</f>
        <v>2400</v>
      </c>
      <c r="E298" s="317"/>
      <c r="F298" s="317"/>
      <c r="G298" s="317"/>
      <c r="H298" s="178">
        <f>H299</f>
        <v>2400</v>
      </c>
      <c r="I298" s="178">
        <f>I299</f>
        <v>0</v>
      </c>
      <c r="J298" s="351">
        <f t="shared" si="8"/>
        <v>0</v>
      </c>
      <c r="K298" s="317"/>
    </row>
    <row r="299" spans="1:11" s="16" customFormat="1" ht="26.25">
      <c r="A299" s="64" t="s">
        <v>190</v>
      </c>
      <c r="B299" s="117" t="s">
        <v>265</v>
      </c>
      <c r="C299" s="117" t="s">
        <v>178</v>
      </c>
      <c r="D299" s="178">
        <f>D300</f>
        <v>2400</v>
      </c>
      <c r="E299" s="293"/>
      <c r="F299" s="293"/>
      <c r="G299" s="293"/>
      <c r="H299" s="178">
        <f>H300</f>
        <v>2400</v>
      </c>
      <c r="I299" s="178">
        <f>I300</f>
        <v>0</v>
      </c>
      <c r="J299" s="351">
        <f t="shared" si="8"/>
        <v>0</v>
      </c>
      <c r="K299" s="293"/>
    </row>
    <row r="300" spans="1:10" ht="15.75">
      <c r="A300" s="64" t="s">
        <v>191</v>
      </c>
      <c r="B300" s="117" t="s">
        <v>265</v>
      </c>
      <c r="C300" s="117" t="s">
        <v>192</v>
      </c>
      <c r="D300" s="178">
        <v>2400</v>
      </c>
      <c r="H300" s="178">
        <v>2400</v>
      </c>
      <c r="I300" s="178">
        <f>D300-H300</f>
        <v>0</v>
      </c>
      <c r="J300" s="351">
        <f t="shared" si="8"/>
        <v>0</v>
      </c>
    </row>
    <row r="301" spans="1:10" ht="26.25">
      <c r="A301" s="142" t="s">
        <v>353</v>
      </c>
      <c r="B301" s="116" t="s">
        <v>40</v>
      </c>
      <c r="C301" s="116"/>
      <c r="D301" s="184">
        <f>D302+D305+D308+D311+D314+D317+D320+D323+D326+D329+D332</f>
        <v>22201.3</v>
      </c>
      <c r="H301" s="184">
        <f>H302+H305+H308+H311+H314+H317+H320+H323+H326+H329+H332</f>
        <v>21538</v>
      </c>
      <c r="I301" s="184">
        <f>I302+I305+I308+I311+I314+I317+I320+I323+I326+I329+I332</f>
        <v>663.3</v>
      </c>
      <c r="J301" s="351">
        <f t="shared" si="8"/>
        <v>663.2999999999993</v>
      </c>
    </row>
    <row r="302" spans="1:10" ht="15.75">
      <c r="A302" s="64" t="s">
        <v>104</v>
      </c>
      <c r="B302" s="117" t="s">
        <v>366</v>
      </c>
      <c r="C302" s="117"/>
      <c r="D302" s="178">
        <f>D303</f>
        <v>15524.5</v>
      </c>
      <c r="H302" s="178">
        <f>H303</f>
        <v>15524.5</v>
      </c>
      <c r="I302" s="178">
        <f>I303</f>
        <v>0</v>
      </c>
      <c r="J302" s="351">
        <f t="shared" si="8"/>
        <v>0</v>
      </c>
    </row>
    <row r="303" spans="1:10" ht="26.25">
      <c r="A303" s="64" t="s">
        <v>190</v>
      </c>
      <c r="B303" s="117" t="s">
        <v>366</v>
      </c>
      <c r="C303" s="117" t="s">
        <v>178</v>
      </c>
      <c r="D303" s="178">
        <f>D304</f>
        <v>15524.5</v>
      </c>
      <c r="H303" s="178">
        <f>H304</f>
        <v>15524.5</v>
      </c>
      <c r="I303" s="178">
        <f>I304</f>
        <v>0</v>
      </c>
      <c r="J303" s="351">
        <f t="shared" si="8"/>
        <v>0</v>
      </c>
    </row>
    <row r="304" spans="1:10" ht="15.75">
      <c r="A304" s="64" t="s">
        <v>191</v>
      </c>
      <c r="B304" s="117" t="s">
        <v>366</v>
      </c>
      <c r="C304" s="117" t="s">
        <v>192</v>
      </c>
      <c r="D304" s="178">
        <v>15524.5</v>
      </c>
      <c r="H304" s="178">
        <v>15524.5</v>
      </c>
      <c r="I304" s="178">
        <f>D304-H304</f>
        <v>0</v>
      </c>
      <c r="J304" s="351">
        <f t="shared" si="8"/>
        <v>0</v>
      </c>
    </row>
    <row r="305" spans="1:10" ht="25.5" customHeight="1">
      <c r="A305" s="304" t="s">
        <v>632</v>
      </c>
      <c r="B305" s="117" t="s">
        <v>599</v>
      </c>
      <c r="C305" s="117"/>
      <c r="D305" s="178">
        <f>D306</f>
        <v>25</v>
      </c>
      <c r="H305" s="178">
        <f>H306</f>
        <v>25</v>
      </c>
      <c r="I305" s="178">
        <f>I306</f>
        <v>0</v>
      </c>
      <c r="J305" s="351">
        <f t="shared" si="8"/>
        <v>0</v>
      </c>
    </row>
    <row r="306" spans="1:10" ht="26.25">
      <c r="A306" s="64" t="s">
        <v>190</v>
      </c>
      <c r="B306" s="117" t="s">
        <v>599</v>
      </c>
      <c r="C306" s="117" t="s">
        <v>178</v>
      </c>
      <c r="D306" s="178">
        <f>D307</f>
        <v>25</v>
      </c>
      <c r="H306" s="178">
        <f>H307</f>
        <v>25</v>
      </c>
      <c r="I306" s="178">
        <f>I307</f>
        <v>0</v>
      </c>
      <c r="J306" s="351">
        <f t="shared" si="8"/>
        <v>0</v>
      </c>
    </row>
    <row r="307" spans="1:10" ht="15.75">
      <c r="A307" s="64" t="s">
        <v>191</v>
      </c>
      <c r="B307" s="117" t="s">
        <v>599</v>
      </c>
      <c r="C307" s="117" t="s">
        <v>192</v>
      </c>
      <c r="D307" s="178">
        <v>25</v>
      </c>
      <c r="H307" s="178">
        <v>25</v>
      </c>
      <c r="I307" s="178">
        <f>D307-H307</f>
        <v>0</v>
      </c>
      <c r="J307" s="351">
        <f t="shared" si="8"/>
        <v>0</v>
      </c>
    </row>
    <row r="308" spans="1:10" ht="15.75">
      <c r="A308" s="64" t="s">
        <v>216</v>
      </c>
      <c r="B308" s="117" t="s">
        <v>367</v>
      </c>
      <c r="C308" s="117"/>
      <c r="D308" s="178">
        <f>D309</f>
        <v>100</v>
      </c>
      <c r="H308" s="178">
        <f>H309</f>
        <v>100</v>
      </c>
      <c r="I308" s="178">
        <f>I309</f>
        <v>0</v>
      </c>
      <c r="J308" s="351">
        <f t="shared" si="8"/>
        <v>0</v>
      </c>
    </row>
    <row r="309" spans="1:10" ht="26.25">
      <c r="A309" s="64" t="s">
        <v>190</v>
      </c>
      <c r="B309" s="117" t="s">
        <v>367</v>
      </c>
      <c r="C309" s="117" t="s">
        <v>178</v>
      </c>
      <c r="D309" s="178">
        <f>D310</f>
        <v>100</v>
      </c>
      <c r="H309" s="178">
        <f>H310</f>
        <v>100</v>
      </c>
      <c r="I309" s="178">
        <f>I310</f>
        <v>0</v>
      </c>
      <c r="J309" s="351">
        <f t="shared" si="8"/>
        <v>0</v>
      </c>
    </row>
    <row r="310" spans="1:11" s="1" customFormat="1" ht="12.75">
      <c r="A310" s="64" t="s">
        <v>191</v>
      </c>
      <c r="B310" s="117" t="s">
        <v>367</v>
      </c>
      <c r="C310" s="117" t="s">
        <v>192</v>
      </c>
      <c r="D310" s="178">
        <v>100</v>
      </c>
      <c r="E310" s="316"/>
      <c r="F310" s="316"/>
      <c r="G310" s="316"/>
      <c r="H310" s="178">
        <v>100</v>
      </c>
      <c r="I310" s="178">
        <f>D310-H310</f>
        <v>0</v>
      </c>
      <c r="J310" s="351">
        <f t="shared" si="8"/>
        <v>0</v>
      </c>
      <c r="K310" s="316"/>
    </row>
    <row r="311" spans="1:11" s="1" customFormat="1" ht="12.75">
      <c r="A311" s="64" t="s">
        <v>7</v>
      </c>
      <c r="B311" s="117" t="s">
        <v>600</v>
      </c>
      <c r="C311" s="117"/>
      <c r="D311" s="178">
        <f>D312</f>
        <v>1500</v>
      </c>
      <c r="E311" s="316"/>
      <c r="F311" s="316"/>
      <c r="G311" s="316"/>
      <c r="H311" s="178">
        <f>H312</f>
        <v>1500</v>
      </c>
      <c r="I311" s="178">
        <f>I312</f>
        <v>0</v>
      </c>
      <c r="J311" s="351">
        <f t="shared" si="8"/>
        <v>0</v>
      </c>
      <c r="K311" s="316"/>
    </row>
    <row r="312" spans="1:11" s="1" customFormat="1" ht="25.5">
      <c r="A312" s="64" t="s">
        <v>190</v>
      </c>
      <c r="B312" s="117" t="s">
        <v>600</v>
      </c>
      <c r="C312" s="117" t="s">
        <v>178</v>
      </c>
      <c r="D312" s="178">
        <f>D313</f>
        <v>1500</v>
      </c>
      <c r="E312" s="316"/>
      <c r="F312" s="316"/>
      <c r="G312" s="316"/>
      <c r="H312" s="178">
        <f>H313</f>
        <v>1500</v>
      </c>
      <c r="I312" s="178">
        <f>I313</f>
        <v>0</v>
      </c>
      <c r="J312" s="351">
        <f t="shared" si="8"/>
        <v>0</v>
      </c>
      <c r="K312" s="316"/>
    </row>
    <row r="313" spans="1:11" s="1" customFormat="1" ht="12.75">
      <c r="A313" s="64" t="s">
        <v>191</v>
      </c>
      <c r="B313" s="117" t="s">
        <v>600</v>
      </c>
      <c r="C313" s="117" t="s">
        <v>192</v>
      </c>
      <c r="D313" s="178">
        <f>100+1400</f>
        <v>1500</v>
      </c>
      <c r="E313" s="316"/>
      <c r="F313" s="316"/>
      <c r="G313" s="316"/>
      <c r="H313" s="178">
        <f>100+1400</f>
        <v>1500</v>
      </c>
      <c r="I313" s="178">
        <f>D313-H313</f>
        <v>0</v>
      </c>
      <c r="J313" s="351">
        <f t="shared" si="8"/>
        <v>0</v>
      </c>
      <c r="K313" s="316"/>
    </row>
    <row r="314" spans="1:11" s="1" customFormat="1" ht="25.5">
      <c r="A314" s="64" t="s">
        <v>267</v>
      </c>
      <c r="B314" s="117" t="s">
        <v>368</v>
      </c>
      <c r="C314" s="117"/>
      <c r="D314" s="178">
        <f>D315</f>
        <v>3.5</v>
      </c>
      <c r="E314" s="316"/>
      <c r="F314" s="316"/>
      <c r="G314" s="316"/>
      <c r="H314" s="178">
        <f>H315</f>
        <v>3.5</v>
      </c>
      <c r="I314" s="178">
        <f>I315</f>
        <v>0</v>
      </c>
      <c r="J314" s="351">
        <f t="shared" si="8"/>
        <v>0</v>
      </c>
      <c r="K314" s="316"/>
    </row>
    <row r="315" spans="1:10" ht="26.25">
      <c r="A315" s="64" t="s">
        <v>190</v>
      </c>
      <c r="B315" s="117" t="s">
        <v>368</v>
      </c>
      <c r="C315" s="117" t="s">
        <v>290</v>
      </c>
      <c r="D315" s="178">
        <f>D316</f>
        <v>3.5</v>
      </c>
      <c r="H315" s="178">
        <f>H316</f>
        <v>3.5</v>
      </c>
      <c r="I315" s="178">
        <f>I316</f>
        <v>0</v>
      </c>
      <c r="J315" s="351">
        <f t="shared" si="8"/>
        <v>0</v>
      </c>
    </row>
    <row r="316" spans="1:11" s="1" customFormat="1" ht="12.75">
      <c r="A316" s="64" t="s">
        <v>191</v>
      </c>
      <c r="B316" s="117" t="s">
        <v>368</v>
      </c>
      <c r="C316" s="117" t="s">
        <v>192</v>
      </c>
      <c r="D316" s="178">
        <v>3.5</v>
      </c>
      <c r="E316" s="316"/>
      <c r="F316" s="316"/>
      <c r="G316" s="316"/>
      <c r="H316" s="178">
        <v>3.5</v>
      </c>
      <c r="I316" s="178">
        <f>D316-H316</f>
        <v>0</v>
      </c>
      <c r="J316" s="351">
        <f t="shared" si="8"/>
        <v>0</v>
      </c>
      <c r="K316" s="316"/>
    </row>
    <row r="317" spans="1:11" s="1" customFormat="1" ht="12.75">
      <c r="A317" s="64" t="s">
        <v>268</v>
      </c>
      <c r="B317" s="117" t="s">
        <v>369</v>
      </c>
      <c r="C317" s="117"/>
      <c r="D317" s="178">
        <f>D318</f>
        <v>235</v>
      </c>
      <c r="E317" s="316"/>
      <c r="F317" s="316"/>
      <c r="G317" s="316"/>
      <c r="H317" s="178">
        <f>H318</f>
        <v>235</v>
      </c>
      <c r="I317" s="178">
        <f>I318</f>
        <v>0</v>
      </c>
      <c r="J317" s="351">
        <f t="shared" si="8"/>
        <v>0</v>
      </c>
      <c r="K317" s="316"/>
    </row>
    <row r="318" spans="1:11" s="1" customFormat="1" ht="25.5">
      <c r="A318" s="64" t="s">
        <v>190</v>
      </c>
      <c r="B318" s="117" t="s">
        <v>369</v>
      </c>
      <c r="C318" s="117" t="s">
        <v>290</v>
      </c>
      <c r="D318" s="178">
        <f>D319</f>
        <v>235</v>
      </c>
      <c r="E318" s="316"/>
      <c r="F318" s="316"/>
      <c r="G318" s="316"/>
      <c r="H318" s="178">
        <f>H319</f>
        <v>235</v>
      </c>
      <c r="I318" s="178">
        <f>I319</f>
        <v>0</v>
      </c>
      <c r="J318" s="351">
        <f t="shared" si="8"/>
        <v>0</v>
      </c>
      <c r="K318" s="316"/>
    </row>
    <row r="319" spans="1:11" s="1" customFormat="1" ht="12.75">
      <c r="A319" s="64" t="s">
        <v>191</v>
      </c>
      <c r="B319" s="117" t="s">
        <v>369</v>
      </c>
      <c r="C319" s="117" t="s">
        <v>192</v>
      </c>
      <c r="D319" s="178">
        <v>235</v>
      </c>
      <c r="E319" s="316"/>
      <c r="F319" s="316"/>
      <c r="G319" s="316"/>
      <c r="H319" s="178">
        <v>235</v>
      </c>
      <c r="I319" s="178">
        <f>D319-H319</f>
        <v>0</v>
      </c>
      <c r="J319" s="351">
        <f t="shared" si="8"/>
        <v>0</v>
      </c>
      <c r="K319" s="316"/>
    </row>
    <row r="320" spans="1:11" s="1" customFormat="1" ht="12.75">
      <c r="A320" s="64" t="s">
        <v>269</v>
      </c>
      <c r="B320" s="117" t="s">
        <v>666</v>
      </c>
      <c r="C320" s="117"/>
      <c r="D320" s="178">
        <f>D321</f>
        <v>1263.3</v>
      </c>
      <c r="E320" s="316"/>
      <c r="F320" s="316"/>
      <c r="G320" s="316"/>
      <c r="H320" s="178">
        <f>H321</f>
        <v>300</v>
      </c>
      <c r="I320" s="178">
        <f>I321</f>
        <v>963.3</v>
      </c>
      <c r="J320" s="351">
        <f t="shared" si="8"/>
        <v>963.3</v>
      </c>
      <c r="K320" s="316"/>
    </row>
    <row r="321" spans="1:11" s="1" customFormat="1" ht="25.5">
      <c r="A321" s="64" t="s">
        <v>190</v>
      </c>
      <c r="B321" s="117" t="s">
        <v>666</v>
      </c>
      <c r="C321" s="117" t="s">
        <v>290</v>
      </c>
      <c r="D321" s="178">
        <f>D322</f>
        <v>1263.3</v>
      </c>
      <c r="E321" s="316"/>
      <c r="F321" s="316"/>
      <c r="G321" s="316"/>
      <c r="H321" s="178">
        <f>H322</f>
        <v>300</v>
      </c>
      <c r="I321" s="178">
        <f>I322</f>
        <v>963.3</v>
      </c>
      <c r="J321" s="351">
        <f t="shared" si="8"/>
        <v>963.3</v>
      </c>
      <c r="K321" s="316"/>
    </row>
    <row r="322" spans="1:11" s="1" customFormat="1" ht="12.75">
      <c r="A322" s="64" t="s">
        <v>191</v>
      </c>
      <c r="B322" s="117" t="s">
        <v>666</v>
      </c>
      <c r="C322" s="117" t="s">
        <v>192</v>
      </c>
      <c r="D322" s="178">
        <f>300+663.3+300</f>
        <v>1263.3</v>
      </c>
      <c r="E322" s="316"/>
      <c r="F322" s="316"/>
      <c r="G322" s="316"/>
      <c r="H322" s="178">
        <v>300</v>
      </c>
      <c r="I322" s="178">
        <f>D322-H322</f>
        <v>963.3</v>
      </c>
      <c r="J322" s="351">
        <f t="shared" si="8"/>
        <v>963.3</v>
      </c>
      <c r="K322" s="316"/>
    </row>
    <row r="323" spans="1:11" s="1" customFormat="1" ht="12.75">
      <c r="A323" s="64" t="s">
        <v>270</v>
      </c>
      <c r="B323" s="117" t="s">
        <v>370</v>
      </c>
      <c r="C323" s="117"/>
      <c r="D323" s="178">
        <f>D324</f>
        <v>900</v>
      </c>
      <c r="E323" s="316"/>
      <c r="F323" s="316"/>
      <c r="G323" s="316"/>
      <c r="H323" s="178">
        <f>H324</f>
        <v>900</v>
      </c>
      <c r="I323" s="178">
        <f>I324</f>
        <v>0</v>
      </c>
      <c r="J323" s="351">
        <f t="shared" si="8"/>
        <v>0</v>
      </c>
      <c r="K323" s="316"/>
    </row>
    <row r="324" spans="1:11" s="1" customFormat="1" ht="25.5">
      <c r="A324" s="64" t="s">
        <v>190</v>
      </c>
      <c r="B324" s="117" t="s">
        <v>370</v>
      </c>
      <c r="C324" s="117" t="s">
        <v>290</v>
      </c>
      <c r="D324" s="178">
        <f>D325</f>
        <v>900</v>
      </c>
      <c r="E324" s="316"/>
      <c r="F324" s="316"/>
      <c r="G324" s="316"/>
      <c r="H324" s="178">
        <f>H325</f>
        <v>900</v>
      </c>
      <c r="I324" s="178">
        <f>I325</f>
        <v>0</v>
      </c>
      <c r="J324" s="351">
        <f t="shared" si="8"/>
        <v>0</v>
      </c>
      <c r="K324" s="316"/>
    </row>
    <row r="325" spans="1:11" s="1" customFormat="1" ht="12.75">
      <c r="A325" s="64" t="s">
        <v>191</v>
      </c>
      <c r="B325" s="117" t="s">
        <v>370</v>
      </c>
      <c r="C325" s="117" t="s">
        <v>192</v>
      </c>
      <c r="D325" s="178">
        <v>900</v>
      </c>
      <c r="E325" s="316"/>
      <c r="F325" s="316"/>
      <c r="G325" s="316"/>
      <c r="H325" s="178">
        <v>900</v>
      </c>
      <c r="I325" s="178">
        <f>D325-H325</f>
        <v>0</v>
      </c>
      <c r="J325" s="351">
        <f t="shared" si="8"/>
        <v>0</v>
      </c>
      <c r="K325" s="316"/>
    </row>
    <row r="326" spans="1:11" s="1" customFormat="1" ht="12.75">
      <c r="A326" s="64" t="s">
        <v>308</v>
      </c>
      <c r="B326" s="117" t="s">
        <v>371</v>
      </c>
      <c r="C326" s="117"/>
      <c r="D326" s="178">
        <f>D327</f>
        <v>2600</v>
      </c>
      <c r="E326" s="316"/>
      <c r="F326" s="316"/>
      <c r="G326" s="316"/>
      <c r="H326" s="178">
        <f>H327</f>
        <v>2600</v>
      </c>
      <c r="I326" s="178">
        <f>I327</f>
        <v>0</v>
      </c>
      <c r="J326" s="351">
        <f aca="true" t="shared" si="9" ref="J326:J389">D326-H326</f>
        <v>0</v>
      </c>
      <c r="K326" s="316"/>
    </row>
    <row r="327" spans="1:11" s="1" customFormat="1" ht="25.5">
      <c r="A327" s="64" t="s">
        <v>190</v>
      </c>
      <c r="B327" s="117" t="s">
        <v>371</v>
      </c>
      <c r="C327" s="117" t="s">
        <v>178</v>
      </c>
      <c r="D327" s="178">
        <f>D328</f>
        <v>2600</v>
      </c>
      <c r="E327" s="316"/>
      <c r="F327" s="316"/>
      <c r="G327" s="316"/>
      <c r="H327" s="178">
        <f>H328</f>
        <v>2600</v>
      </c>
      <c r="I327" s="178">
        <f>I328</f>
        <v>0</v>
      </c>
      <c r="J327" s="351">
        <f t="shared" si="9"/>
        <v>0</v>
      </c>
      <c r="K327" s="316"/>
    </row>
    <row r="328" spans="1:11" s="8" customFormat="1" ht="12.75">
      <c r="A328" s="64" t="s">
        <v>191</v>
      </c>
      <c r="B328" s="117" t="s">
        <v>371</v>
      </c>
      <c r="C328" s="117" t="s">
        <v>192</v>
      </c>
      <c r="D328" s="178">
        <f>900+1700</f>
        <v>2600</v>
      </c>
      <c r="E328" s="319"/>
      <c r="F328" s="319"/>
      <c r="G328" s="319"/>
      <c r="H328" s="178">
        <f>900+1700</f>
        <v>2600</v>
      </c>
      <c r="I328" s="178">
        <f>D328-H328</f>
        <v>0</v>
      </c>
      <c r="J328" s="351">
        <f t="shared" si="9"/>
        <v>0</v>
      </c>
      <c r="K328" s="319"/>
    </row>
    <row r="329" spans="1:11" s="151" customFormat="1" ht="38.25">
      <c r="A329" s="149" t="s">
        <v>553</v>
      </c>
      <c r="B329" s="150" t="s">
        <v>419</v>
      </c>
      <c r="C329" s="150"/>
      <c r="D329" s="192">
        <f>D330</f>
        <v>50</v>
      </c>
      <c r="E329" s="320"/>
      <c r="F329" s="320"/>
      <c r="G329" s="320"/>
      <c r="H329" s="192">
        <f>H330</f>
        <v>50</v>
      </c>
      <c r="I329" s="192">
        <f>I330</f>
        <v>0</v>
      </c>
      <c r="J329" s="351">
        <f t="shared" si="9"/>
        <v>0</v>
      </c>
      <c r="K329" s="320"/>
    </row>
    <row r="330" spans="1:11" s="8" customFormat="1" ht="25.5">
      <c r="A330" s="64" t="s">
        <v>190</v>
      </c>
      <c r="B330" s="117" t="s">
        <v>419</v>
      </c>
      <c r="C330" s="117" t="s">
        <v>290</v>
      </c>
      <c r="D330" s="178">
        <f>D331</f>
        <v>50</v>
      </c>
      <c r="E330" s="319"/>
      <c r="F330" s="319"/>
      <c r="G330" s="319"/>
      <c r="H330" s="178">
        <f>H331</f>
        <v>50</v>
      </c>
      <c r="I330" s="178">
        <f>I331</f>
        <v>0</v>
      </c>
      <c r="J330" s="351">
        <f t="shared" si="9"/>
        <v>0</v>
      </c>
      <c r="K330" s="319"/>
    </row>
    <row r="331" spans="1:11" s="8" customFormat="1" ht="12.75">
      <c r="A331" s="64" t="s">
        <v>191</v>
      </c>
      <c r="B331" s="117" t="s">
        <v>419</v>
      </c>
      <c r="C331" s="117" t="s">
        <v>192</v>
      </c>
      <c r="D331" s="178">
        <v>50</v>
      </c>
      <c r="E331" s="319"/>
      <c r="F331" s="319"/>
      <c r="G331" s="319"/>
      <c r="H331" s="178">
        <v>50</v>
      </c>
      <c r="I331" s="178">
        <f>D331-H331</f>
        <v>0</v>
      </c>
      <c r="J331" s="351">
        <f t="shared" si="9"/>
        <v>0</v>
      </c>
      <c r="K331" s="319"/>
    </row>
    <row r="332" spans="1:11" s="8" customFormat="1" ht="25.5">
      <c r="A332" s="148" t="s">
        <v>556</v>
      </c>
      <c r="B332" s="117" t="s">
        <v>557</v>
      </c>
      <c r="C332" s="117"/>
      <c r="D332" s="178">
        <f>D333</f>
        <v>0</v>
      </c>
      <c r="E332" s="319"/>
      <c r="F332" s="319"/>
      <c r="G332" s="319"/>
      <c r="H332" s="178">
        <f>H333</f>
        <v>300</v>
      </c>
      <c r="I332" s="178">
        <f>I333</f>
        <v>-300</v>
      </c>
      <c r="J332" s="351">
        <f t="shared" si="9"/>
        <v>-300</v>
      </c>
      <c r="K332" s="319"/>
    </row>
    <row r="333" spans="1:11" s="8" customFormat="1" ht="25.5">
      <c r="A333" s="64" t="s">
        <v>190</v>
      </c>
      <c r="B333" s="117" t="s">
        <v>557</v>
      </c>
      <c r="C333" s="117" t="s">
        <v>290</v>
      </c>
      <c r="D333" s="178">
        <f>D334</f>
        <v>0</v>
      </c>
      <c r="E333" s="319"/>
      <c r="F333" s="319"/>
      <c r="G333" s="319"/>
      <c r="H333" s="178">
        <f>H334</f>
        <v>300</v>
      </c>
      <c r="I333" s="178">
        <f>I334</f>
        <v>-300</v>
      </c>
      <c r="J333" s="351">
        <f t="shared" si="9"/>
        <v>-300</v>
      </c>
      <c r="K333" s="319"/>
    </row>
    <row r="334" spans="1:11" s="8" customFormat="1" ht="12.75">
      <c r="A334" s="64" t="s">
        <v>191</v>
      </c>
      <c r="B334" s="117" t="s">
        <v>557</v>
      </c>
      <c r="C334" s="117" t="s">
        <v>192</v>
      </c>
      <c r="D334" s="178">
        <f>300-300</f>
        <v>0</v>
      </c>
      <c r="E334" s="319"/>
      <c r="F334" s="319"/>
      <c r="G334" s="319"/>
      <c r="H334" s="178">
        <v>300</v>
      </c>
      <c r="I334" s="178">
        <f>D334-H334</f>
        <v>-300</v>
      </c>
      <c r="J334" s="351">
        <f t="shared" si="9"/>
        <v>-300</v>
      </c>
      <c r="K334" s="319"/>
    </row>
    <row r="335" spans="1:11" s="8" customFormat="1" ht="25.5">
      <c r="A335" s="126" t="s">
        <v>437</v>
      </c>
      <c r="B335" s="127" t="s">
        <v>13</v>
      </c>
      <c r="C335" s="127"/>
      <c r="D335" s="177">
        <f>D336+D343+D346</f>
        <v>695</v>
      </c>
      <c r="E335" s="319"/>
      <c r="F335" s="319"/>
      <c r="G335" s="319"/>
      <c r="H335" s="177">
        <f>H336+H343+H346</f>
        <v>695</v>
      </c>
      <c r="I335" s="177">
        <f>I336+I343+I346</f>
        <v>0</v>
      </c>
      <c r="J335" s="351">
        <f t="shared" si="9"/>
        <v>0</v>
      </c>
      <c r="K335" s="319"/>
    </row>
    <row r="336" spans="1:11" s="8" customFormat="1" ht="12.75">
      <c r="A336" s="46" t="s">
        <v>93</v>
      </c>
      <c r="B336" s="117" t="s">
        <v>14</v>
      </c>
      <c r="C336" s="139"/>
      <c r="D336" s="178">
        <f>D337+D339+D341</f>
        <v>510</v>
      </c>
      <c r="E336" s="319"/>
      <c r="F336" s="319"/>
      <c r="G336" s="319"/>
      <c r="H336" s="178">
        <f>H337+H339+H341</f>
        <v>510</v>
      </c>
      <c r="I336" s="178">
        <f>I337+I339+I341</f>
        <v>0</v>
      </c>
      <c r="J336" s="351">
        <f t="shared" si="9"/>
        <v>0</v>
      </c>
      <c r="K336" s="319"/>
    </row>
    <row r="337" spans="1:11" s="8" customFormat="1" ht="12.75">
      <c r="A337" s="60" t="s">
        <v>226</v>
      </c>
      <c r="B337" s="117" t="s">
        <v>14</v>
      </c>
      <c r="C337" s="117" t="s">
        <v>188</v>
      </c>
      <c r="D337" s="178">
        <f>D338</f>
        <v>200</v>
      </c>
      <c r="E337" s="319"/>
      <c r="F337" s="319"/>
      <c r="G337" s="319"/>
      <c r="H337" s="178">
        <f>H338</f>
        <v>200</v>
      </c>
      <c r="I337" s="178">
        <f>I338</f>
        <v>0</v>
      </c>
      <c r="J337" s="351">
        <f t="shared" si="9"/>
        <v>0</v>
      </c>
      <c r="K337" s="319"/>
    </row>
    <row r="338" spans="1:11" s="8" customFormat="1" ht="12.75">
      <c r="A338" s="60" t="s">
        <v>189</v>
      </c>
      <c r="B338" s="117" t="s">
        <v>14</v>
      </c>
      <c r="C338" s="117" t="s">
        <v>187</v>
      </c>
      <c r="D338" s="178">
        <v>200</v>
      </c>
      <c r="E338" s="319"/>
      <c r="F338" s="319"/>
      <c r="G338" s="319"/>
      <c r="H338" s="178">
        <v>200</v>
      </c>
      <c r="I338" s="178">
        <f>D338-H338</f>
        <v>0</v>
      </c>
      <c r="J338" s="351">
        <f t="shared" si="9"/>
        <v>0</v>
      </c>
      <c r="K338" s="319"/>
    </row>
    <row r="339" spans="1:11" s="8" customFormat="1" ht="25.5">
      <c r="A339" s="50" t="s">
        <v>190</v>
      </c>
      <c r="B339" s="117" t="s">
        <v>14</v>
      </c>
      <c r="C339" s="117" t="s">
        <v>178</v>
      </c>
      <c r="D339" s="178">
        <f>D340</f>
        <v>10</v>
      </c>
      <c r="E339" s="319"/>
      <c r="F339" s="319"/>
      <c r="G339" s="319"/>
      <c r="H339" s="178">
        <f>H340</f>
        <v>10</v>
      </c>
      <c r="I339" s="178">
        <f>I340</f>
        <v>0</v>
      </c>
      <c r="J339" s="351">
        <f t="shared" si="9"/>
        <v>0</v>
      </c>
      <c r="K339" s="319"/>
    </row>
    <row r="340" spans="1:11" s="8" customFormat="1" ht="12.75">
      <c r="A340" s="50" t="s">
        <v>191</v>
      </c>
      <c r="B340" s="117" t="s">
        <v>14</v>
      </c>
      <c r="C340" s="117" t="s">
        <v>192</v>
      </c>
      <c r="D340" s="178">
        <v>10</v>
      </c>
      <c r="E340" s="319"/>
      <c r="F340" s="319"/>
      <c r="G340" s="319"/>
      <c r="H340" s="178">
        <v>10</v>
      </c>
      <c r="I340" s="178">
        <f>D340-H340</f>
        <v>0</v>
      </c>
      <c r="J340" s="351">
        <f t="shared" si="9"/>
        <v>0</v>
      </c>
      <c r="K340" s="319"/>
    </row>
    <row r="341" spans="1:11" s="1" customFormat="1" ht="12.75">
      <c r="A341" s="46" t="s">
        <v>90</v>
      </c>
      <c r="B341" s="117" t="s">
        <v>14</v>
      </c>
      <c r="C341" s="117" t="s">
        <v>87</v>
      </c>
      <c r="D341" s="178">
        <f>D342</f>
        <v>300</v>
      </c>
      <c r="E341" s="316"/>
      <c r="F341" s="316"/>
      <c r="G341" s="316"/>
      <c r="H341" s="178">
        <f>H342</f>
        <v>300</v>
      </c>
      <c r="I341" s="178">
        <f>I342</f>
        <v>0</v>
      </c>
      <c r="J341" s="351">
        <f t="shared" si="9"/>
        <v>0</v>
      </c>
      <c r="K341" s="316"/>
    </row>
    <row r="342" spans="1:11" s="1" customFormat="1" ht="25.5">
      <c r="A342" s="46" t="s">
        <v>228</v>
      </c>
      <c r="B342" s="117" t="s">
        <v>14</v>
      </c>
      <c r="C342" s="117" t="s">
        <v>88</v>
      </c>
      <c r="D342" s="178">
        <v>300</v>
      </c>
      <c r="E342" s="316"/>
      <c r="F342" s="316"/>
      <c r="G342" s="316"/>
      <c r="H342" s="178">
        <v>300</v>
      </c>
      <c r="I342" s="178">
        <f>D342-H342</f>
        <v>0</v>
      </c>
      <c r="J342" s="351">
        <f t="shared" si="9"/>
        <v>0</v>
      </c>
      <c r="K342" s="316"/>
    </row>
    <row r="343" spans="1:11" s="1" customFormat="1" ht="12.75">
      <c r="A343" s="46" t="s">
        <v>122</v>
      </c>
      <c r="B343" s="117" t="s">
        <v>277</v>
      </c>
      <c r="C343" s="117"/>
      <c r="D343" s="178">
        <f>D344</f>
        <v>35</v>
      </c>
      <c r="E343" s="316"/>
      <c r="F343" s="316"/>
      <c r="G343" s="316"/>
      <c r="H343" s="178">
        <f>H344</f>
        <v>35</v>
      </c>
      <c r="I343" s="178">
        <f>I344</f>
        <v>0</v>
      </c>
      <c r="J343" s="351">
        <f t="shared" si="9"/>
        <v>0</v>
      </c>
      <c r="K343" s="316"/>
    </row>
    <row r="344" spans="1:11" s="1" customFormat="1" ht="12.75">
      <c r="A344" s="60" t="s">
        <v>226</v>
      </c>
      <c r="B344" s="117" t="s">
        <v>277</v>
      </c>
      <c r="C344" s="117" t="s">
        <v>188</v>
      </c>
      <c r="D344" s="178">
        <f>D345</f>
        <v>35</v>
      </c>
      <c r="E344" s="316"/>
      <c r="F344" s="316"/>
      <c r="G344" s="316"/>
      <c r="H344" s="178">
        <f>H345</f>
        <v>35</v>
      </c>
      <c r="I344" s="178">
        <f>I345</f>
        <v>0</v>
      </c>
      <c r="J344" s="351">
        <f t="shared" si="9"/>
        <v>0</v>
      </c>
      <c r="K344" s="316"/>
    </row>
    <row r="345" spans="1:11" s="1" customFormat="1" ht="12.75">
      <c r="A345" s="60" t="s">
        <v>189</v>
      </c>
      <c r="B345" s="117" t="s">
        <v>277</v>
      </c>
      <c r="C345" s="117" t="s">
        <v>187</v>
      </c>
      <c r="D345" s="178">
        <v>35</v>
      </c>
      <c r="E345" s="316"/>
      <c r="F345" s="316"/>
      <c r="G345" s="316"/>
      <c r="H345" s="178">
        <v>35</v>
      </c>
      <c r="I345" s="178">
        <f>D345-H345</f>
        <v>0</v>
      </c>
      <c r="J345" s="351">
        <f t="shared" si="9"/>
        <v>0</v>
      </c>
      <c r="K345" s="316"/>
    </row>
    <row r="346" spans="1:11" s="1" customFormat="1" ht="25.5">
      <c r="A346" s="46" t="s">
        <v>501</v>
      </c>
      <c r="B346" s="117" t="s">
        <v>500</v>
      </c>
      <c r="C346" s="117"/>
      <c r="D346" s="178">
        <f>D347</f>
        <v>150</v>
      </c>
      <c r="E346" s="316"/>
      <c r="F346" s="316"/>
      <c r="G346" s="316"/>
      <c r="H346" s="178">
        <f>H347</f>
        <v>150</v>
      </c>
      <c r="I346" s="178">
        <f>I347</f>
        <v>0</v>
      </c>
      <c r="J346" s="351">
        <f t="shared" si="9"/>
        <v>0</v>
      </c>
      <c r="K346" s="316"/>
    </row>
    <row r="347" spans="1:11" s="1" customFormat="1" ht="12.75">
      <c r="A347" s="46" t="s">
        <v>90</v>
      </c>
      <c r="B347" s="117" t="s">
        <v>500</v>
      </c>
      <c r="C347" s="117" t="s">
        <v>87</v>
      </c>
      <c r="D347" s="178">
        <f>D348</f>
        <v>150</v>
      </c>
      <c r="E347" s="316"/>
      <c r="F347" s="316"/>
      <c r="G347" s="316"/>
      <c r="H347" s="178">
        <f>H348</f>
        <v>150</v>
      </c>
      <c r="I347" s="178">
        <f>I348</f>
        <v>0</v>
      </c>
      <c r="J347" s="351">
        <f t="shared" si="9"/>
        <v>0</v>
      </c>
      <c r="K347" s="316"/>
    </row>
    <row r="348" spans="1:11" s="1" customFormat="1" ht="25.5">
      <c r="A348" s="46" t="s">
        <v>228</v>
      </c>
      <c r="B348" s="117" t="s">
        <v>500</v>
      </c>
      <c r="C348" s="117" t="s">
        <v>88</v>
      </c>
      <c r="D348" s="178">
        <v>150</v>
      </c>
      <c r="E348" s="316"/>
      <c r="F348" s="316"/>
      <c r="G348" s="316"/>
      <c r="H348" s="178">
        <v>150</v>
      </c>
      <c r="I348" s="178">
        <f>D348-H348</f>
        <v>0</v>
      </c>
      <c r="J348" s="351">
        <f t="shared" si="9"/>
        <v>0</v>
      </c>
      <c r="K348" s="316"/>
    </row>
    <row r="349" spans="1:11" s="1" customFormat="1" ht="27.75" customHeight="1">
      <c r="A349" s="131" t="s">
        <v>479</v>
      </c>
      <c r="B349" s="127" t="s">
        <v>74</v>
      </c>
      <c r="C349" s="127"/>
      <c r="D349" s="177">
        <f>D350+D396+D411</f>
        <v>202241.82800000004</v>
      </c>
      <c r="E349" s="316"/>
      <c r="F349" s="316"/>
      <c r="G349" s="316"/>
      <c r="H349" s="177">
        <f>H350+H396+H411</f>
        <v>202491.84300000002</v>
      </c>
      <c r="I349" s="177">
        <f>I350+I396+I411</f>
        <v>-250.01499999999942</v>
      </c>
      <c r="J349" s="351">
        <f t="shared" si="9"/>
        <v>-250.01499999998487</v>
      </c>
      <c r="K349" s="316"/>
    </row>
    <row r="350" spans="1:11" s="1" customFormat="1" ht="12.75">
      <c r="A350" s="118" t="s">
        <v>480</v>
      </c>
      <c r="B350" s="116" t="s">
        <v>75</v>
      </c>
      <c r="C350" s="117"/>
      <c r="D350" s="184">
        <f>D351+D354+D357+D360+D363+D366+D369+D372+D375+D378+D381+D384+D387+D390+D393</f>
        <v>147196.84300000002</v>
      </c>
      <c r="E350" s="316"/>
      <c r="F350" s="316"/>
      <c r="G350" s="316"/>
      <c r="H350" s="184">
        <f>H351+H354+H357+H360+H363+H366+H369+H372+H375+H378+H381+H384+H387+H390+H393</f>
        <v>147446.84300000002</v>
      </c>
      <c r="I350" s="184">
        <f>I351+I354+I357+I360+I363+I366+I369+I372+I375+I378+I381+I384+I387+I390+I393</f>
        <v>-250</v>
      </c>
      <c r="J350" s="351">
        <f t="shared" si="9"/>
        <v>-250</v>
      </c>
      <c r="K350" s="316"/>
    </row>
    <row r="351" spans="1:11" s="1" customFormat="1" ht="12.75">
      <c r="A351" s="90" t="s">
        <v>292</v>
      </c>
      <c r="B351" s="117" t="s">
        <v>223</v>
      </c>
      <c r="C351" s="117"/>
      <c r="D351" s="178">
        <f>D352</f>
        <v>112073.4</v>
      </c>
      <c r="E351" s="316"/>
      <c r="F351" s="316"/>
      <c r="G351" s="316"/>
      <c r="H351" s="178">
        <f>H352</f>
        <v>112073.4</v>
      </c>
      <c r="I351" s="178">
        <f>I352</f>
        <v>0</v>
      </c>
      <c r="J351" s="351">
        <f t="shared" si="9"/>
        <v>0</v>
      </c>
      <c r="K351" s="316"/>
    </row>
    <row r="352" spans="1:11" s="1" customFormat="1" ht="25.5">
      <c r="A352" s="63" t="s">
        <v>190</v>
      </c>
      <c r="B352" s="117" t="s">
        <v>223</v>
      </c>
      <c r="C352" s="117" t="s">
        <v>178</v>
      </c>
      <c r="D352" s="183">
        <f>D353</f>
        <v>112073.4</v>
      </c>
      <c r="E352" s="316"/>
      <c r="F352" s="316"/>
      <c r="G352" s="316"/>
      <c r="H352" s="183">
        <f>H353</f>
        <v>112073.4</v>
      </c>
      <c r="I352" s="183">
        <f>I353</f>
        <v>0</v>
      </c>
      <c r="J352" s="351">
        <f t="shared" si="9"/>
        <v>0</v>
      </c>
      <c r="K352" s="316"/>
    </row>
    <row r="353" spans="1:11" s="1" customFormat="1" ht="12.75">
      <c r="A353" s="50" t="s">
        <v>191</v>
      </c>
      <c r="B353" s="117" t="s">
        <v>223</v>
      </c>
      <c r="C353" s="117" t="s">
        <v>192</v>
      </c>
      <c r="D353" s="183">
        <v>112073.4</v>
      </c>
      <c r="E353" s="316"/>
      <c r="F353" s="316"/>
      <c r="G353" s="316"/>
      <c r="H353" s="183">
        <v>112073.4</v>
      </c>
      <c r="I353" s="178">
        <f>D353-H353</f>
        <v>0</v>
      </c>
      <c r="J353" s="351">
        <f t="shared" si="9"/>
        <v>0</v>
      </c>
      <c r="K353" s="316"/>
    </row>
    <row r="354" spans="1:11" s="1" customFormat="1" ht="12.75">
      <c r="A354" s="71" t="s">
        <v>216</v>
      </c>
      <c r="B354" s="117" t="s">
        <v>293</v>
      </c>
      <c r="C354" s="117"/>
      <c r="D354" s="178">
        <f>D355</f>
        <v>723.3</v>
      </c>
      <c r="E354" s="316"/>
      <c r="F354" s="316"/>
      <c r="G354" s="316"/>
      <c r="H354" s="178">
        <f>H355</f>
        <v>723.3</v>
      </c>
      <c r="I354" s="178">
        <f>I355</f>
        <v>0</v>
      </c>
      <c r="J354" s="351">
        <f t="shared" si="9"/>
        <v>0</v>
      </c>
      <c r="K354" s="316"/>
    </row>
    <row r="355" spans="1:11" s="1" customFormat="1" ht="25.5">
      <c r="A355" s="63" t="s">
        <v>190</v>
      </c>
      <c r="B355" s="117" t="s">
        <v>293</v>
      </c>
      <c r="C355" s="117" t="s">
        <v>178</v>
      </c>
      <c r="D355" s="183">
        <f>D356</f>
        <v>723.3</v>
      </c>
      <c r="E355" s="316"/>
      <c r="F355" s="316"/>
      <c r="G355" s="316"/>
      <c r="H355" s="183">
        <f>H356</f>
        <v>723.3</v>
      </c>
      <c r="I355" s="183">
        <f>I356</f>
        <v>0</v>
      </c>
      <c r="J355" s="351">
        <f t="shared" si="9"/>
        <v>0</v>
      </c>
      <c r="K355" s="316"/>
    </row>
    <row r="356" spans="1:11" s="1" customFormat="1" ht="12.75">
      <c r="A356" s="50" t="s">
        <v>191</v>
      </c>
      <c r="B356" s="117" t="s">
        <v>293</v>
      </c>
      <c r="C356" s="117" t="s">
        <v>192</v>
      </c>
      <c r="D356" s="183">
        <v>723.3</v>
      </c>
      <c r="E356" s="316"/>
      <c r="F356" s="316"/>
      <c r="G356" s="316"/>
      <c r="H356" s="183">
        <v>723.3</v>
      </c>
      <c r="I356" s="178">
        <f>D356-H356</f>
        <v>0</v>
      </c>
      <c r="J356" s="351">
        <f t="shared" si="9"/>
        <v>0</v>
      </c>
      <c r="K356" s="316"/>
    </row>
    <row r="357" spans="1:11" s="1" customFormat="1" ht="12.75">
      <c r="A357" s="71" t="s">
        <v>271</v>
      </c>
      <c r="B357" s="117" t="s">
        <v>294</v>
      </c>
      <c r="C357" s="117"/>
      <c r="D357" s="178">
        <f>D358</f>
        <v>310.4</v>
      </c>
      <c r="E357" s="316"/>
      <c r="F357" s="316"/>
      <c r="G357" s="316"/>
      <c r="H357" s="178">
        <f>H358</f>
        <v>310.4</v>
      </c>
      <c r="I357" s="178">
        <f>I358</f>
        <v>0</v>
      </c>
      <c r="J357" s="351">
        <f t="shared" si="9"/>
        <v>0</v>
      </c>
      <c r="K357" s="316"/>
    </row>
    <row r="358" spans="1:11" s="1" customFormat="1" ht="25.5">
      <c r="A358" s="63" t="s">
        <v>190</v>
      </c>
      <c r="B358" s="117" t="s">
        <v>294</v>
      </c>
      <c r="C358" s="117" t="s">
        <v>178</v>
      </c>
      <c r="D358" s="183">
        <f>D359</f>
        <v>310.4</v>
      </c>
      <c r="E358" s="316"/>
      <c r="F358" s="316"/>
      <c r="G358" s="316"/>
      <c r="H358" s="183">
        <f>H359</f>
        <v>310.4</v>
      </c>
      <c r="I358" s="183">
        <f>I359</f>
        <v>0</v>
      </c>
      <c r="J358" s="351">
        <f t="shared" si="9"/>
        <v>0</v>
      </c>
      <c r="K358" s="316"/>
    </row>
    <row r="359" spans="1:11" s="1" customFormat="1" ht="12.75">
      <c r="A359" s="50" t="s">
        <v>191</v>
      </c>
      <c r="B359" s="117" t="s">
        <v>294</v>
      </c>
      <c r="C359" s="117" t="s">
        <v>192</v>
      </c>
      <c r="D359" s="183">
        <v>310.4</v>
      </c>
      <c r="E359" s="316"/>
      <c r="F359" s="316"/>
      <c r="G359" s="316"/>
      <c r="H359" s="183">
        <v>310.4</v>
      </c>
      <c r="I359" s="178">
        <f>D359-H359</f>
        <v>0</v>
      </c>
      <c r="J359" s="351">
        <f t="shared" si="9"/>
        <v>0</v>
      </c>
      <c r="K359" s="316"/>
    </row>
    <row r="360" spans="1:11" s="1" customFormat="1" ht="25.5">
      <c r="A360" s="304" t="s">
        <v>632</v>
      </c>
      <c r="B360" s="117" t="s">
        <v>411</v>
      </c>
      <c r="C360" s="117"/>
      <c r="D360" s="183">
        <f>D361</f>
        <v>2347.6</v>
      </c>
      <c r="E360" s="316"/>
      <c r="F360" s="316"/>
      <c r="G360" s="316"/>
      <c r="H360" s="183">
        <f>H361</f>
        <v>1977.6</v>
      </c>
      <c r="I360" s="183">
        <f>I361</f>
        <v>370</v>
      </c>
      <c r="J360" s="351">
        <f t="shared" si="9"/>
        <v>370</v>
      </c>
      <c r="K360" s="316"/>
    </row>
    <row r="361" spans="1:11" s="1" customFormat="1" ht="25.5">
      <c r="A361" s="63" t="s">
        <v>190</v>
      </c>
      <c r="B361" s="117" t="s">
        <v>411</v>
      </c>
      <c r="C361" s="117" t="s">
        <v>178</v>
      </c>
      <c r="D361" s="183">
        <f>D362</f>
        <v>2347.6</v>
      </c>
      <c r="E361" s="316"/>
      <c r="F361" s="316"/>
      <c r="G361" s="316"/>
      <c r="H361" s="183">
        <f>H362</f>
        <v>1977.6</v>
      </c>
      <c r="I361" s="183">
        <f>I362</f>
        <v>370</v>
      </c>
      <c r="J361" s="351">
        <f t="shared" si="9"/>
        <v>370</v>
      </c>
      <c r="K361" s="316"/>
    </row>
    <row r="362" spans="1:11" s="1" customFormat="1" ht="12.75">
      <c r="A362" s="50" t="s">
        <v>191</v>
      </c>
      <c r="B362" s="117" t="s">
        <v>411</v>
      </c>
      <c r="C362" s="117" t="s">
        <v>192</v>
      </c>
      <c r="D362" s="183">
        <f>350+927.6+700+370</f>
        <v>2347.6</v>
      </c>
      <c r="E362" s="316"/>
      <c r="F362" s="316"/>
      <c r="G362" s="316"/>
      <c r="H362" s="183">
        <f>350+927.6+700</f>
        <v>1977.6</v>
      </c>
      <c r="I362" s="178">
        <f>D362-H362</f>
        <v>370</v>
      </c>
      <c r="J362" s="351">
        <f t="shared" si="9"/>
        <v>370</v>
      </c>
      <c r="K362" s="316"/>
    </row>
    <row r="363" spans="1:11" s="1" customFormat="1" ht="12.75">
      <c r="A363" s="87" t="s">
        <v>295</v>
      </c>
      <c r="B363" s="117" t="s">
        <v>296</v>
      </c>
      <c r="C363" s="117"/>
      <c r="D363" s="183">
        <f>D364</f>
        <v>2227.4</v>
      </c>
      <c r="E363" s="316"/>
      <c r="F363" s="316"/>
      <c r="G363" s="316"/>
      <c r="H363" s="183">
        <f>H364</f>
        <v>2227.4</v>
      </c>
      <c r="I363" s="183">
        <f>I364</f>
        <v>0</v>
      </c>
      <c r="J363" s="351">
        <f t="shared" si="9"/>
        <v>0</v>
      </c>
      <c r="K363" s="316"/>
    </row>
    <row r="364" spans="1:11" s="1" customFormat="1" ht="25.5">
      <c r="A364" s="63" t="s">
        <v>190</v>
      </c>
      <c r="B364" s="117" t="s">
        <v>296</v>
      </c>
      <c r="C364" s="117" t="s">
        <v>178</v>
      </c>
      <c r="D364" s="183">
        <f>D365</f>
        <v>2227.4</v>
      </c>
      <c r="E364" s="316"/>
      <c r="F364" s="316"/>
      <c r="G364" s="316"/>
      <c r="H364" s="183">
        <f>H365</f>
        <v>2227.4</v>
      </c>
      <c r="I364" s="183">
        <f>I365</f>
        <v>0</v>
      </c>
      <c r="J364" s="351">
        <f t="shared" si="9"/>
        <v>0</v>
      </c>
      <c r="K364" s="316"/>
    </row>
    <row r="365" spans="1:11" s="1" customFormat="1" ht="12.75">
      <c r="A365" s="50" t="s">
        <v>191</v>
      </c>
      <c r="B365" s="117" t="s">
        <v>296</v>
      </c>
      <c r="C365" s="117" t="s">
        <v>192</v>
      </c>
      <c r="D365" s="183">
        <f>727.4+1500</f>
        <v>2227.4</v>
      </c>
      <c r="E365" s="316"/>
      <c r="F365" s="316"/>
      <c r="G365" s="316"/>
      <c r="H365" s="183">
        <f>727.4+1500</f>
        <v>2227.4</v>
      </c>
      <c r="I365" s="178">
        <f>D365-H365</f>
        <v>0</v>
      </c>
      <c r="J365" s="351">
        <f t="shared" si="9"/>
        <v>0</v>
      </c>
      <c r="K365" s="316"/>
    </row>
    <row r="366" spans="1:11" s="1" customFormat="1" ht="25.5">
      <c r="A366" s="84" t="s">
        <v>267</v>
      </c>
      <c r="B366" s="115" t="s">
        <v>621</v>
      </c>
      <c r="C366" s="115"/>
      <c r="D366" s="183">
        <f>D367</f>
        <v>62</v>
      </c>
      <c r="E366" s="316"/>
      <c r="F366" s="316"/>
      <c r="G366" s="316"/>
      <c r="H366" s="183">
        <f>H367</f>
        <v>62</v>
      </c>
      <c r="I366" s="183">
        <f>I367</f>
        <v>0</v>
      </c>
      <c r="J366" s="351">
        <f t="shared" si="9"/>
        <v>0</v>
      </c>
      <c r="K366" s="316"/>
    </row>
    <row r="367" spans="1:11" s="1" customFormat="1" ht="25.5">
      <c r="A367" s="79" t="s">
        <v>190</v>
      </c>
      <c r="B367" s="115" t="s">
        <v>621</v>
      </c>
      <c r="C367" s="115" t="s">
        <v>178</v>
      </c>
      <c r="D367" s="183">
        <f>D368</f>
        <v>62</v>
      </c>
      <c r="E367" s="316"/>
      <c r="F367" s="316"/>
      <c r="G367" s="316"/>
      <c r="H367" s="183">
        <f>H368</f>
        <v>62</v>
      </c>
      <c r="I367" s="183">
        <f>I368</f>
        <v>0</v>
      </c>
      <c r="J367" s="351">
        <f t="shared" si="9"/>
        <v>0</v>
      </c>
      <c r="K367" s="316"/>
    </row>
    <row r="368" spans="1:11" s="1" customFormat="1" ht="12.75">
      <c r="A368" s="83" t="s">
        <v>191</v>
      </c>
      <c r="B368" s="115" t="s">
        <v>621</v>
      </c>
      <c r="C368" s="115" t="s">
        <v>192</v>
      </c>
      <c r="D368" s="183">
        <v>62</v>
      </c>
      <c r="E368" s="316"/>
      <c r="F368" s="316"/>
      <c r="G368" s="316"/>
      <c r="H368" s="183">
        <v>62</v>
      </c>
      <c r="I368" s="178">
        <f>D368-H368</f>
        <v>0</v>
      </c>
      <c r="J368" s="351">
        <f t="shared" si="9"/>
        <v>0</v>
      </c>
      <c r="K368" s="316"/>
    </row>
    <row r="369" spans="1:11" s="1" customFormat="1" ht="12.75">
      <c r="A369" s="50" t="s">
        <v>268</v>
      </c>
      <c r="B369" s="117" t="s">
        <v>297</v>
      </c>
      <c r="C369" s="117"/>
      <c r="D369" s="183">
        <f>D370</f>
        <v>2704.3</v>
      </c>
      <c r="E369" s="316"/>
      <c r="F369" s="316"/>
      <c r="G369" s="316"/>
      <c r="H369" s="183">
        <f>H370</f>
        <v>2704.3</v>
      </c>
      <c r="I369" s="183">
        <f>I370</f>
        <v>0</v>
      </c>
      <c r="J369" s="351">
        <f t="shared" si="9"/>
        <v>0</v>
      </c>
      <c r="K369" s="316"/>
    </row>
    <row r="370" spans="1:11" s="1" customFormat="1" ht="25.5">
      <c r="A370" s="63" t="s">
        <v>190</v>
      </c>
      <c r="B370" s="117" t="s">
        <v>297</v>
      </c>
      <c r="C370" s="117" t="s">
        <v>178</v>
      </c>
      <c r="D370" s="183">
        <f>D371</f>
        <v>2704.3</v>
      </c>
      <c r="E370" s="316"/>
      <c r="F370" s="316"/>
      <c r="G370" s="316"/>
      <c r="H370" s="183">
        <f>H371</f>
        <v>2704.3</v>
      </c>
      <c r="I370" s="183">
        <f>I371</f>
        <v>0</v>
      </c>
      <c r="J370" s="351">
        <f t="shared" si="9"/>
        <v>0</v>
      </c>
      <c r="K370" s="316"/>
    </row>
    <row r="371" spans="1:11" s="1" customFormat="1" ht="12.75">
      <c r="A371" s="50" t="s">
        <v>191</v>
      </c>
      <c r="B371" s="117" t="s">
        <v>297</v>
      </c>
      <c r="C371" s="117" t="s">
        <v>192</v>
      </c>
      <c r="D371" s="183">
        <f>1404.3+800+500</f>
        <v>2704.3</v>
      </c>
      <c r="E371" s="316"/>
      <c r="F371" s="316"/>
      <c r="G371" s="316"/>
      <c r="H371" s="183">
        <f>1404.3+800+500</f>
        <v>2704.3</v>
      </c>
      <c r="I371" s="178">
        <f>D371-H371</f>
        <v>0</v>
      </c>
      <c r="J371" s="351">
        <f t="shared" si="9"/>
        <v>0</v>
      </c>
      <c r="K371" s="316"/>
    </row>
    <row r="372" spans="1:11" s="1" customFormat="1" ht="12.75">
      <c r="A372" s="50" t="s">
        <v>335</v>
      </c>
      <c r="B372" s="117" t="s">
        <v>410</v>
      </c>
      <c r="C372" s="117"/>
      <c r="D372" s="183">
        <f>D373</f>
        <v>1034.5</v>
      </c>
      <c r="E372" s="316"/>
      <c r="F372" s="316"/>
      <c r="G372" s="316"/>
      <c r="H372" s="183">
        <f>H373</f>
        <v>1034.5</v>
      </c>
      <c r="I372" s="183">
        <f>I373</f>
        <v>0</v>
      </c>
      <c r="J372" s="351">
        <f t="shared" si="9"/>
        <v>0</v>
      </c>
      <c r="K372" s="316"/>
    </row>
    <row r="373" spans="1:11" s="1" customFormat="1" ht="25.5">
      <c r="A373" s="63" t="s">
        <v>190</v>
      </c>
      <c r="B373" s="117" t="s">
        <v>410</v>
      </c>
      <c r="C373" s="117" t="s">
        <v>178</v>
      </c>
      <c r="D373" s="183">
        <f>D374</f>
        <v>1034.5</v>
      </c>
      <c r="E373" s="316"/>
      <c r="F373" s="316"/>
      <c r="G373" s="316"/>
      <c r="H373" s="183">
        <f>H374</f>
        <v>1034.5</v>
      </c>
      <c r="I373" s="183">
        <f>I374</f>
        <v>0</v>
      </c>
      <c r="J373" s="351">
        <f t="shared" si="9"/>
        <v>0</v>
      </c>
      <c r="K373" s="316"/>
    </row>
    <row r="374" spans="1:11" s="1" customFormat="1" ht="12.75">
      <c r="A374" s="50" t="s">
        <v>191</v>
      </c>
      <c r="B374" s="117" t="s">
        <v>410</v>
      </c>
      <c r="C374" s="117" t="s">
        <v>192</v>
      </c>
      <c r="D374" s="183">
        <f>598.2+436.3</f>
        <v>1034.5</v>
      </c>
      <c r="E374" s="316"/>
      <c r="F374" s="316"/>
      <c r="G374" s="316"/>
      <c r="H374" s="183">
        <f>598.2+436.3</f>
        <v>1034.5</v>
      </c>
      <c r="I374" s="178">
        <f>D374-H374</f>
        <v>0</v>
      </c>
      <c r="J374" s="351">
        <f t="shared" si="9"/>
        <v>0</v>
      </c>
      <c r="K374" s="316"/>
    </row>
    <row r="375" spans="1:11" s="1" customFormat="1" ht="12.75">
      <c r="A375" s="50" t="s">
        <v>298</v>
      </c>
      <c r="B375" s="117" t="s">
        <v>299</v>
      </c>
      <c r="C375" s="117"/>
      <c r="D375" s="183">
        <f>D376</f>
        <v>260</v>
      </c>
      <c r="E375" s="316"/>
      <c r="F375" s="316"/>
      <c r="G375" s="316"/>
      <c r="H375" s="183">
        <f>H376</f>
        <v>260</v>
      </c>
      <c r="I375" s="183">
        <f>I376</f>
        <v>0</v>
      </c>
      <c r="J375" s="351">
        <f t="shared" si="9"/>
        <v>0</v>
      </c>
      <c r="K375" s="316"/>
    </row>
    <row r="376" spans="1:11" s="1" customFormat="1" ht="25.5">
      <c r="A376" s="63" t="s">
        <v>190</v>
      </c>
      <c r="B376" s="117" t="s">
        <v>299</v>
      </c>
      <c r="C376" s="117" t="s">
        <v>178</v>
      </c>
      <c r="D376" s="183">
        <f>D377</f>
        <v>260</v>
      </c>
      <c r="E376" s="316"/>
      <c r="F376" s="316"/>
      <c r="G376" s="316"/>
      <c r="H376" s="183">
        <f>H377</f>
        <v>260</v>
      </c>
      <c r="I376" s="183">
        <f>I377</f>
        <v>0</v>
      </c>
      <c r="J376" s="351">
        <f t="shared" si="9"/>
        <v>0</v>
      </c>
      <c r="K376" s="316"/>
    </row>
    <row r="377" spans="1:11" s="1" customFormat="1" ht="12.75">
      <c r="A377" s="50" t="s">
        <v>191</v>
      </c>
      <c r="B377" s="117" t="s">
        <v>299</v>
      </c>
      <c r="C377" s="117" t="s">
        <v>192</v>
      </c>
      <c r="D377" s="183">
        <v>260</v>
      </c>
      <c r="E377" s="316"/>
      <c r="F377" s="316"/>
      <c r="G377" s="316"/>
      <c r="H377" s="183">
        <v>260</v>
      </c>
      <c r="I377" s="178">
        <f>D377-H377</f>
        <v>0</v>
      </c>
      <c r="J377" s="351">
        <f t="shared" si="9"/>
        <v>0</v>
      </c>
      <c r="K377" s="316"/>
    </row>
    <row r="378" spans="1:11" s="1" customFormat="1" ht="25.5">
      <c r="A378" s="50" t="s">
        <v>481</v>
      </c>
      <c r="B378" s="117" t="s">
        <v>482</v>
      </c>
      <c r="C378" s="120"/>
      <c r="D378" s="178">
        <f>D379</f>
        <v>10066.4</v>
      </c>
      <c r="E378" s="316"/>
      <c r="F378" s="316"/>
      <c r="G378" s="316"/>
      <c r="H378" s="178">
        <f>H379</f>
        <v>10686.4</v>
      </c>
      <c r="I378" s="178">
        <f>I379</f>
        <v>-620</v>
      </c>
      <c r="J378" s="351">
        <f t="shared" si="9"/>
        <v>-620</v>
      </c>
      <c r="K378" s="316"/>
    </row>
    <row r="379" spans="1:11" s="1" customFormat="1" ht="25.5">
      <c r="A379" s="50" t="s">
        <v>190</v>
      </c>
      <c r="B379" s="117" t="s">
        <v>482</v>
      </c>
      <c r="C379" s="120" t="s">
        <v>178</v>
      </c>
      <c r="D379" s="178">
        <f>D380</f>
        <v>10066.4</v>
      </c>
      <c r="E379" s="316"/>
      <c r="F379" s="316"/>
      <c r="G379" s="316"/>
      <c r="H379" s="178">
        <f>H380</f>
        <v>10686.4</v>
      </c>
      <c r="I379" s="178">
        <f>I380</f>
        <v>-620</v>
      </c>
      <c r="J379" s="351">
        <f t="shared" si="9"/>
        <v>-620</v>
      </c>
      <c r="K379" s="316"/>
    </row>
    <row r="380" spans="1:11" s="1" customFormat="1" ht="12.75">
      <c r="A380" s="50" t="s">
        <v>191</v>
      </c>
      <c r="B380" s="117" t="s">
        <v>482</v>
      </c>
      <c r="C380" s="120" t="s">
        <v>192</v>
      </c>
      <c r="D380" s="178">
        <f>8498.6+2316.2-128.4-620</f>
        <v>10066.4</v>
      </c>
      <c r="E380" s="316"/>
      <c r="F380" s="316"/>
      <c r="G380" s="316"/>
      <c r="H380" s="178">
        <f>8498.6+2316.2-128.4</f>
        <v>10686.4</v>
      </c>
      <c r="I380" s="178">
        <f>D380-H380</f>
        <v>-620</v>
      </c>
      <c r="J380" s="351">
        <f t="shared" si="9"/>
        <v>-620</v>
      </c>
      <c r="K380" s="316"/>
    </row>
    <row r="381" spans="1:11" s="1" customFormat="1" ht="12.75">
      <c r="A381" s="84" t="s">
        <v>398</v>
      </c>
      <c r="B381" s="117" t="s">
        <v>397</v>
      </c>
      <c r="C381" s="119"/>
      <c r="D381" s="178">
        <f>D382</f>
        <v>14872.7</v>
      </c>
      <c r="E381" s="316"/>
      <c r="F381" s="316"/>
      <c r="G381" s="316"/>
      <c r="H381" s="178">
        <f>H382</f>
        <v>14872.7</v>
      </c>
      <c r="I381" s="178">
        <f>I382</f>
        <v>0</v>
      </c>
      <c r="J381" s="351">
        <f t="shared" si="9"/>
        <v>0</v>
      </c>
      <c r="K381" s="316"/>
    </row>
    <row r="382" spans="1:11" s="1" customFormat="1" ht="25.5">
      <c r="A382" s="63" t="s">
        <v>190</v>
      </c>
      <c r="B382" s="117" t="s">
        <v>397</v>
      </c>
      <c r="C382" s="117" t="s">
        <v>178</v>
      </c>
      <c r="D382" s="178">
        <f>D383</f>
        <v>14872.7</v>
      </c>
      <c r="E382" s="316"/>
      <c r="F382" s="316"/>
      <c r="G382" s="316"/>
      <c r="H382" s="178">
        <f>H383</f>
        <v>14872.7</v>
      </c>
      <c r="I382" s="178">
        <f>I383</f>
        <v>0</v>
      </c>
      <c r="J382" s="351">
        <f t="shared" si="9"/>
        <v>0</v>
      </c>
      <c r="K382" s="316"/>
    </row>
    <row r="383" spans="1:11" s="1" customFormat="1" ht="12.75">
      <c r="A383" s="87" t="s">
        <v>191</v>
      </c>
      <c r="B383" s="117" t="s">
        <v>397</v>
      </c>
      <c r="C383" s="117" t="s">
        <v>192</v>
      </c>
      <c r="D383" s="178">
        <v>14872.7</v>
      </c>
      <c r="E383" s="316"/>
      <c r="F383" s="316"/>
      <c r="G383" s="316"/>
      <c r="H383" s="178">
        <v>14872.7</v>
      </c>
      <c r="I383" s="178">
        <f>D383-H383</f>
        <v>0</v>
      </c>
      <c r="J383" s="351">
        <f t="shared" si="9"/>
        <v>0</v>
      </c>
      <c r="K383" s="316"/>
    </row>
    <row r="384" spans="1:11" s="1" customFormat="1" ht="25.5">
      <c r="A384" s="84" t="s">
        <v>483</v>
      </c>
      <c r="B384" s="117" t="s">
        <v>399</v>
      </c>
      <c r="C384" s="119"/>
      <c r="D384" s="178">
        <f>D385</f>
        <v>192.1</v>
      </c>
      <c r="E384" s="316"/>
      <c r="F384" s="316"/>
      <c r="G384" s="316"/>
      <c r="H384" s="178">
        <f>H385</f>
        <v>192.1</v>
      </c>
      <c r="I384" s="178">
        <f>I385</f>
        <v>0</v>
      </c>
      <c r="J384" s="351">
        <f t="shared" si="9"/>
        <v>0</v>
      </c>
      <c r="K384" s="316"/>
    </row>
    <row r="385" spans="1:11" s="1" customFormat="1" ht="25.5">
      <c r="A385" s="63" t="s">
        <v>190</v>
      </c>
      <c r="B385" s="117" t="s">
        <v>399</v>
      </c>
      <c r="C385" s="117" t="s">
        <v>178</v>
      </c>
      <c r="D385" s="178">
        <f>D386</f>
        <v>192.1</v>
      </c>
      <c r="E385" s="316"/>
      <c r="F385" s="316"/>
      <c r="G385" s="316"/>
      <c r="H385" s="178">
        <f>H386</f>
        <v>192.1</v>
      </c>
      <c r="I385" s="178">
        <f>I386</f>
        <v>0</v>
      </c>
      <c r="J385" s="351">
        <f t="shared" si="9"/>
        <v>0</v>
      </c>
      <c r="K385" s="316"/>
    </row>
    <row r="386" spans="1:11" s="1" customFormat="1" ht="12.75">
      <c r="A386" s="50" t="s">
        <v>191</v>
      </c>
      <c r="B386" s="117" t="s">
        <v>399</v>
      </c>
      <c r="C386" s="117" t="s">
        <v>192</v>
      </c>
      <c r="D386" s="178">
        <v>192.1</v>
      </c>
      <c r="E386" s="316"/>
      <c r="F386" s="316"/>
      <c r="G386" s="316"/>
      <c r="H386" s="178">
        <v>192.1</v>
      </c>
      <c r="I386" s="178">
        <f>D386-H386</f>
        <v>0</v>
      </c>
      <c r="J386" s="351">
        <f t="shared" si="9"/>
        <v>0</v>
      </c>
      <c r="K386" s="316"/>
    </row>
    <row r="387" spans="1:11" s="1" customFormat="1" ht="25.5">
      <c r="A387" s="84" t="s">
        <v>485</v>
      </c>
      <c r="B387" s="117" t="s">
        <v>484</v>
      </c>
      <c r="C387" s="119"/>
      <c r="D387" s="178">
        <f>D388</f>
        <v>139.543</v>
      </c>
      <c r="E387" s="316"/>
      <c r="F387" s="316"/>
      <c r="G387" s="316"/>
      <c r="H387" s="178">
        <f>H388</f>
        <v>139.543</v>
      </c>
      <c r="I387" s="178">
        <f>I388</f>
        <v>0</v>
      </c>
      <c r="J387" s="351">
        <f t="shared" si="9"/>
        <v>0</v>
      </c>
      <c r="K387" s="316"/>
    </row>
    <row r="388" spans="1:11" s="1" customFormat="1" ht="25.5">
      <c r="A388" s="63" t="s">
        <v>190</v>
      </c>
      <c r="B388" s="117" t="s">
        <v>484</v>
      </c>
      <c r="C388" s="117" t="s">
        <v>178</v>
      </c>
      <c r="D388" s="178">
        <f>D389</f>
        <v>139.543</v>
      </c>
      <c r="E388" s="316"/>
      <c r="F388" s="316"/>
      <c r="G388" s="316"/>
      <c r="H388" s="178">
        <f>H389</f>
        <v>139.543</v>
      </c>
      <c r="I388" s="178">
        <f>I389</f>
        <v>0</v>
      </c>
      <c r="J388" s="351">
        <f t="shared" si="9"/>
        <v>0</v>
      </c>
      <c r="K388" s="316"/>
    </row>
    <row r="389" spans="1:11" s="1" customFormat="1" ht="12.75">
      <c r="A389" s="50" t="s">
        <v>191</v>
      </c>
      <c r="B389" s="117" t="s">
        <v>484</v>
      </c>
      <c r="C389" s="117" t="s">
        <v>192</v>
      </c>
      <c r="D389" s="178">
        <v>139.543</v>
      </c>
      <c r="E389" s="316"/>
      <c r="F389" s="316"/>
      <c r="G389" s="316"/>
      <c r="H389" s="178">
        <v>139.543</v>
      </c>
      <c r="I389" s="178">
        <f>D389-H389</f>
        <v>0</v>
      </c>
      <c r="J389" s="351">
        <f t="shared" si="9"/>
        <v>0</v>
      </c>
      <c r="K389" s="316"/>
    </row>
    <row r="390" spans="1:11" s="1" customFormat="1" ht="12.75">
      <c r="A390" s="84" t="s">
        <v>590</v>
      </c>
      <c r="B390" s="117" t="s">
        <v>589</v>
      </c>
      <c r="C390" s="119"/>
      <c r="D390" s="178">
        <f>D391</f>
        <v>61.1</v>
      </c>
      <c r="E390" s="316"/>
      <c r="F390" s="316"/>
      <c r="G390" s="316"/>
      <c r="H390" s="178">
        <f>H391</f>
        <v>61.1</v>
      </c>
      <c r="I390" s="178">
        <f>I391</f>
        <v>0</v>
      </c>
      <c r="J390" s="351">
        <f aca="true" t="shared" si="10" ref="J390:J453">D390-H390</f>
        <v>0</v>
      </c>
      <c r="K390" s="316"/>
    </row>
    <row r="391" spans="1:11" s="1" customFormat="1" ht="25.5">
      <c r="A391" s="63" t="s">
        <v>190</v>
      </c>
      <c r="B391" s="117" t="s">
        <v>589</v>
      </c>
      <c r="C391" s="117" t="s">
        <v>178</v>
      </c>
      <c r="D391" s="178">
        <f>D392</f>
        <v>61.1</v>
      </c>
      <c r="E391" s="316"/>
      <c r="F391" s="316"/>
      <c r="G391" s="316"/>
      <c r="H391" s="178">
        <f>H392</f>
        <v>61.1</v>
      </c>
      <c r="I391" s="178">
        <f>I392</f>
        <v>0</v>
      </c>
      <c r="J391" s="351">
        <f t="shared" si="10"/>
        <v>0</v>
      </c>
      <c r="K391" s="316"/>
    </row>
    <row r="392" spans="1:11" s="1" customFormat="1" ht="12.75">
      <c r="A392" s="50" t="s">
        <v>191</v>
      </c>
      <c r="B392" s="117" t="s">
        <v>589</v>
      </c>
      <c r="C392" s="117" t="s">
        <v>192</v>
      </c>
      <c r="D392" s="178">
        <f>5+55.6+0.5</f>
        <v>61.1</v>
      </c>
      <c r="E392" s="316"/>
      <c r="F392" s="316"/>
      <c r="G392" s="316"/>
      <c r="H392" s="178">
        <f>5+55.6+0.5</f>
        <v>61.1</v>
      </c>
      <c r="I392" s="178">
        <f>D392-H392</f>
        <v>0</v>
      </c>
      <c r="J392" s="351">
        <f t="shared" si="10"/>
        <v>0</v>
      </c>
      <c r="K392" s="316"/>
    </row>
    <row r="393" spans="1:11" s="1" customFormat="1" ht="12.75">
      <c r="A393" s="84" t="s">
        <v>587</v>
      </c>
      <c r="B393" s="117" t="s">
        <v>588</v>
      </c>
      <c r="C393" s="119"/>
      <c r="D393" s="178">
        <f>D394</f>
        <v>122.1</v>
      </c>
      <c r="E393" s="316"/>
      <c r="F393" s="316"/>
      <c r="G393" s="316"/>
      <c r="H393" s="178">
        <f>H394</f>
        <v>122.1</v>
      </c>
      <c r="I393" s="178">
        <f>I394</f>
        <v>0</v>
      </c>
      <c r="J393" s="351">
        <f t="shared" si="10"/>
        <v>0</v>
      </c>
      <c r="K393" s="316"/>
    </row>
    <row r="394" spans="1:11" s="1" customFormat="1" ht="25.5">
      <c r="A394" s="63" t="s">
        <v>190</v>
      </c>
      <c r="B394" s="117" t="s">
        <v>588</v>
      </c>
      <c r="C394" s="117" t="s">
        <v>178</v>
      </c>
      <c r="D394" s="178">
        <f>D395</f>
        <v>122.1</v>
      </c>
      <c r="E394" s="316"/>
      <c r="F394" s="316"/>
      <c r="G394" s="316"/>
      <c r="H394" s="178">
        <f>H395</f>
        <v>122.1</v>
      </c>
      <c r="I394" s="178">
        <f>I395</f>
        <v>0</v>
      </c>
      <c r="J394" s="351">
        <f t="shared" si="10"/>
        <v>0</v>
      </c>
      <c r="K394" s="316"/>
    </row>
    <row r="395" spans="1:11" s="1" customFormat="1" ht="12.75">
      <c r="A395" s="50" t="s">
        <v>191</v>
      </c>
      <c r="B395" s="117" t="s">
        <v>588</v>
      </c>
      <c r="C395" s="117" t="s">
        <v>192</v>
      </c>
      <c r="D395" s="178">
        <f>10+111.1+1</f>
        <v>122.1</v>
      </c>
      <c r="E395" s="316"/>
      <c r="F395" s="316"/>
      <c r="G395" s="316"/>
      <c r="H395" s="178">
        <f>10+111.1+1</f>
        <v>122.1</v>
      </c>
      <c r="I395" s="178">
        <f>D395-H395</f>
        <v>0</v>
      </c>
      <c r="J395" s="351">
        <f t="shared" si="10"/>
        <v>0</v>
      </c>
      <c r="K395" s="316"/>
    </row>
    <row r="396" spans="1:11" s="1" customFormat="1" ht="12.75">
      <c r="A396" s="53" t="s">
        <v>537</v>
      </c>
      <c r="B396" s="116" t="s">
        <v>224</v>
      </c>
      <c r="C396" s="116"/>
      <c r="D396" s="182">
        <f>D397+D405+D408+D402</f>
        <v>2070</v>
      </c>
      <c r="E396" s="316"/>
      <c r="F396" s="316"/>
      <c r="G396" s="316"/>
      <c r="H396" s="182">
        <f>H397+H405+H408+H402</f>
        <v>2070</v>
      </c>
      <c r="I396" s="182">
        <f>I397+I405+I408+I402</f>
        <v>0</v>
      </c>
      <c r="J396" s="351">
        <f t="shared" si="10"/>
        <v>0</v>
      </c>
      <c r="K396" s="316"/>
    </row>
    <row r="397" spans="1:11" s="1" customFormat="1" ht="12.75">
      <c r="A397" s="74" t="s">
        <v>97</v>
      </c>
      <c r="B397" s="117" t="s">
        <v>221</v>
      </c>
      <c r="C397" s="117"/>
      <c r="D397" s="183">
        <f>D400+D398</f>
        <v>1070</v>
      </c>
      <c r="E397" s="316"/>
      <c r="F397" s="316"/>
      <c r="G397" s="316"/>
      <c r="H397" s="183">
        <f>H400+H398</f>
        <v>1070</v>
      </c>
      <c r="I397" s="183">
        <f>I400+I398</f>
        <v>0</v>
      </c>
      <c r="J397" s="351">
        <f t="shared" si="10"/>
        <v>0</v>
      </c>
      <c r="K397" s="316"/>
    </row>
    <row r="398" spans="1:11" s="1" customFormat="1" ht="12.75">
      <c r="A398" s="60" t="s">
        <v>226</v>
      </c>
      <c r="B398" s="117" t="s">
        <v>221</v>
      </c>
      <c r="C398" s="117" t="s">
        <v>188</v>
      </c>
      <c r="D398" s="183">
        <f>D399</f>
        <v>50</v>
      </c>
      <c r="E398" s="316"/>
      <c r="F398" s="316"/>
      <c r="G398" s="316"/>
      <c r="H398" s="183">
        <f>H399</f>
        <v>50</v>
      </c>
      <c r="I398" s="183">
        <f>I399</f>
        <v>0</v>
      </c>
      <c r="J398" s="351">
        <f t="shared" si="10"/>
        <v>0</v>
      </c>
      <c r="K398" s="316"/>
    </row>
    <row r="399" spans="1:11" s="1" customFormat="1" ht="12.75">
      <c r="A399" s="60" t="s">
        <v>189</v>
      </c>
      <c r="B399" s="117" t="s">
        <v>221</v>
      </c>
      <c r="C399" s="117" t="s">
        <v>187</v>
      </c>
      <c r="D399" s="183">
        <v>50</v>
      </c>
      <c r="E399" s="316"/>
      <c r="F399" s="316"/>
      <c r="G399" s="316"/>
      <c r="H399" s="183">
        <v>50</v>
      </c>
      <c r="I399" s="178">
        <f>D399-H399</f>
        <v>0</v>
      </c>
      <c r="J399" s="351">
        <f t="shared" si="10"/>
        <v>0</v>
      </c>
      <c r="K399" s="316"/>
    </row>
    <row r="400" spans="1:11" s="1" customFormat="1" ht="25.5">
      <c r="A400" s="63" t="s">
        <v>190</v>
      </c>
      <c r="B400" s="117" t="s">
        <v>221</v>
      </c>
      <c r="C400" s="117" t="s">
        <v>178</v>
      </c>
      <c r="D400" s="183">
        <f>D401</f>
        <v>1020</v>
      </c>
      <c r="E400" s="316"/>
      <c r="F400" s="316"/>
      <c r="G400" s="316"/>
      <c r="H400" s="183">
        <f>H401</f>
        <v>1020</v>
      </c>
      <c r="I400" s="183">
        <f>I401</f>
        <v>0</v>
      </c>
      <c r="J400" s="351">
        <f t="shared" si="10"/>
        <v>0</v>
      </c>
      <c r="K400" s="316"/>
    </row>
    <row r="401" spans="1:11" s="1" customFormat="1" ht="12.75">
      <c r="A401" s="50" t="s">
        <v>191</v>
      </c>
      <c r="B401" s="117" t="s">
        <v>221</v>
      </c>
      <c r="C401" s="117" t="s">
        <v>192</v>
      </c>
      <c r="D401" s="183">
        <f>1020</f>
        <v>1020</v>
      </c>
      <c r="E401" s="316"/>
      <c r="F401" s="316"/>
      <c r="G401" s="316"/>
      <c r="H401" s="183">
        <f>1020</f>
        <v>1020</v>
      </c>
      <c r="I401" s="178">
        <f>D401-H401</f>
        <v>0</v>
      </c>
      <c r="J401" s="351">
        <f t="shared" si="10"/>
        <v>0</v>
      </c>
      <c r="K401" s="316"/>
    </row>
    <row r="402" spans="1:11" s="1" customFormat="1" ht="12.75">
      <c r="A402" s="87" t="s">
        <v>670</v>
      </c>
      <c r="B402" s="117" t="s">
        <v>669</v>
      </c>
      <c r="C402" s="117"/>
      <c r="D402" s="183">
        <f>D403</f>
        <v>500</v>
      </c>
      <c r="E402" s="316"/>
      <c r="F402" s="316"/>
      <c r="G402" s="316"/>
      <c r="H402" s="183">
        <f>H403</f>
        <v>500</v>
      </c>
      <c r="I402" s="183">
        <f>I403</f>
        <v>0</v>
      </c>
      <c r="J402" s="351">
        <f t="shared" si="10"/>
        <v>0</v>
      </c>
      <c r="K402" s="316"/>
    </row>
    <row r="403" spans="1:11" s="1" customFormat="1" ht="25.5">
      <c r="A403" s="63" t="s">
        <v>190</v>
      </c>
      <c r="B403" s="117" t="s">
        <v>669</v>
      </c>
      <c r="C403" s="117" t="s">
        <v>178</v>
      </c>
      <c r="D403" s="183">
        <f>D404</f>
        <v>500</v>
      </c>
      <c r="E403" s="316"/>
      <c r="F403" s="316"/>
      <c r="G403" s="316"/>
      <c r="H403" s="183">
        <f>H404</f>
        <v>500</v>
      </c>
      <c r="I403" s="183">
        <f>I404</f>
        <v>0</v>
      </c>
      <c r="J403" s="351">
        <f t="shared" si="10"/>
        <v>0</v>
      </c>
      <c r="K403" s="316"/>
    </row>
    <row r="404" spans="1:11" s="1" customFormat="1" ht="12.75">
      <c r="A404" s="50" t="s">
        <v>191</v>
      </c>
      <c r="B404" s="117" t="s">
        <v>669</v>
      </c>
      <c r="C404" s="117" t="s">
        <v>192</v>
      </c>
      <c r="D404" s="183">
        <v>500</v>
      </c>
      <c r="E404" s="316"/>
      <c r="F404" s="316"/>
      <c r="G404" s="316"/>
      <c r="H404" s="183">
        <v>500</v>
      </c>
      <c r="I404" s="178">
        <f>D404-H404</f>
        <v>0</v>
      </c>
      <c r="J404" s="351">
        <f t="shared" si="10"/>
        <v>0</v>
      </c>
      <c r="K404" s="316"/>
    </row>
    <row r="405" spans="1:11" s="1" customFormat="1" ht="12.75">
      <c r="A405" s="87" t="s">
        <v>503</v>
      </c>
      <c r="B405" s="117" t="s">
        <v>502</v>
      </c>
      <c r="C405" s="117"/>
      <c r="D405" s="183">
        <f>D406</f>
        <v>100</v>
      </c>
      <c r="E405" s="316"/>
      <c r="F405" s="316"/>
      <c r="G405" s="316"/>
      <c r="H405" s="183">
        <f>H406</f>
        <v>100</v>
      </c>
      <c r="I405" s="183">
        <f>I406</f>
        <v>0</v>
      </c>
      <c r="J405" s="351">
        <f t="shared" si="10"/>
        <v>0</v>
      </c>
      <c r="K405" s="316"/>
    </row>
    <row r="406" spans="1:11" s="1" customFormat="1" ht="25.5">
      <c r="A406" s="63" t="s">
        <v>190</v>
      </c>
      <c r="B406" s="117" t="s">
        <v>502</v>
      </c>
      <c r="C406" s="117" t="s">
        <v>178</v>
      </c>
      <c r="D406" s="183">
        <f>D407</f>
        <v>100</v>
      </c>
      <c r="E406" s="316"/>
      <c r="F406" s="316"/>
      <c r="G406" s="316"/>
      <c r="H406" s="183">
        <f>H407</f>
        <v>100</v>
      </c>
      <c r="I406" s="183">
        <f>I407</f>
        <v>0</v>
      </c>
      <c r="J406" s="351">
        <f t="shared" si="10"/>
        <v>0</v>
      </c>
      <c r="K406" s="316"/>
    </row>
    <row r="407" spans="1:11" s="1" customFormat="1" ht="12.75">
      <c r="A407" s="50" t="s">
        <v>191</v>
      </c>
      <c r="B407" s="117" t="s">
        <v>502</v>
      </c>
      <c r="C407" s="117" t="s">
        <v>192</v>
      </c>
      <c r="D407" s="183">
        <v>100</v>
      </c>
      <c r="E407" s="316"/>
      <c r="F407" s="316"/>
      <c r="G407" s="316"/>
      <c r="H407" s="183">
        <v>100</v>
      </c>
      <c r="I407" s="178">
        <f>D407-H407</f>
        <v>0</v>
      </c>
      <c r="J407" s="351">
        <f t="shared" si="10"/>
        <v>0</v>
      </c>
      <c r="K407" s="316"/>
    </row>
    <row r="408" spans="1:11" s="1" customFormat="1" ht="16.5" customHeight="1">
      <c r="A408" s="140" t="s">
        <v>393</v>
      </c>
      <c r="B408" s="115" t="s">
        <v>394</v>
      </c>
      <c r="C408" s="117"/>
      <c r="D408" s="183">
        <f>D409</f>
        <v>400</v>
      </c>
      <c r="E408" s="316"/>
      <c r="F408" s="316"/>
      <c r="G408" s="316"/>
      <c r="H408" s="183">
        <f>H409</f>
        <v>400</v>
      </c>
      <c r="I408" s="183">
        <f>I409</f>
        <v>0</v>
      </c>
      <c r="J408" s="351">
        <f t="shared" si="10"/>
        <v>0</v>
      </c>
      <c r="K408" s="316"/>
    </row>
    <row r="409" spans="1:11" s="4" customFormat="1" ht="25.5">
      <c r="A409" s="79" t="s">
        <v>190</v>
      </c>
      <c r="B409" s="115" t="s">
        <v>394</v>
      </c>
      <c r="C409" s="117" t="s">
        <v>178</v>
      </c>
      <c r="D409" s="183">
        <f>D410</f>
        <v>400</v>
      </c>
      <c r="E409" s="317"/>
      <c r="F409" s="317"/>
      <c r="G409" s="317"/>
      <c r="H409" s="183">
        <f>H410</f>
        <v>400</v>
      </c>
      <c r="I409" s="183">
        <f>I410</f>
        <v>0</v>
      </c>
      <c r="J409" s="351">
        <f t="shared" si="10"/>
        <v>0</v>
      </c>
      <c r="K409" s="317"/>
    </row>
    <row r="410" spans="1:11" s="4" customFormat="1" ht="12.75">
      <c r="A410" s="83" t="s">
        <v>191</v>
      </c>
      <c r="B410" s="115" t="s">
        <v>394</v>
      </c>
      <c r="C410" s="117" t="s">
        <v>192</v>
      </c>
      <c r="D410" s="183">
        <v>400</v>
      </c>
      <c r="E410" s="317"/>
      <c r="F410" s="317"/>
      <c r="G410" s="317"/>
      <c r="H410" s="183">
        <v>400</v>
      </c>
      <c r="I410" s="178">
        <f>D410-H410</f>
        <v>0</v>
      </c>
      <c r="J410" s="351">
        <f t="shared" si="10"/>
        <v>0</v>
      </c>
      <c r="K410" s="317"/>
    </row>
    <row r="411" spans="1:11" s="4" customFormat="1" ht="25.5">
      <c r="A411" s="44" t="s">
        <v>427</v>
      </c>
      <c r="B411" s="116" t="s">
        <v>300</v>
      </c>
      <c r="C411" s="116"/>
      <c r="D411" s="184">
        <f>D412+D415+D418+D421+D424+D427+D430+D433+D436+D439</f>
        <v>52974.985</v>
      </c>
      <c r="E411" s="317"/>
      <c r="F411" s="317"/>
      <c r="G411" s="317"/>
      <c r="H411" s="184">
        <f>H412+H415+H418+H421+H424+H427+H430+H433+H436+H439</f>
        <v>52975</v>
      </c>
      <c r="I411" s="184">
        <f>I412+I415+I418+I421+I424+I427+I430+I433+I436+I439</f>
        <v>-0.014999999999417923</v>
      </c>
      <c r="J411" s="351">
        <f t="shared" si="10"/>
        <v>-0.014999999999417923</v>
      </c>
      <c r="K411" s="317"/>
    </row>
    <row r="412" spans="1:11" s="4" customFormat="1" ht="12.75">
      <c r="A412" s="141" t="s">
        <v>104</v>
      </c>
      <c r="B412" s="117" t="s">
        <v>301</v>
      </c>
      <c r="C412" s="117"/>
      <c r="D412" s="178">
        <f>D413</f>
        <v>45030.4</v>
      </c>
      <c r="E412" s="317"/>
      <c r="F412" s="317"/>
      <c r="G412" s="317"/>
      <c r="H412" s="178">
        <f>H413</f>
        <v>45030.4</v>
      </c>
      <c r="I412" s="178">
        <f>I413</f>
        <v>0</v>
      </c>
      <c r="J412" s="351">
        <f t="shared" si="10"/>
        <v>0</v>
      </c>
      <c r="K412" s="317"/>
    </row>
    <row r="413" spans="1:11" s="4" customFormat="1" ht="25.5">
      <c r="A413" s="63" t="s">
        <v>190</v>
      </c>
      <c r="B413" s="117" t="s">
        <v>301</v>
      </c>
      <c r="C413" s="117" t="s">
        <v>178</v>
      </c>
      <c r="D413" s="178">
        <f>D414</f>
        <v>45030.4</v>
      </c>
      <c r="E413" s="317"/>
      <c r="F413" s="317"/>
      <c r="G413" s="317"/>
      <c r="H413" s="178">
        <f>H414</f>
        <v>45030.4</v>
      </c>
      <c r="I413" s="178">
        <f>I414</f>
        <v>0</v>
      </c>
      <c r="J413" s="351">
        <f t="shared" si="10"/>
        <v>0</v>
      </c>
      <c r="K413" s="317"/>
    </row>
    <row r="414" spans="1:11" s="1" customFormat="1" ht="12.75">
      <c r="A414" s="50" t="s">
        <v>191</v>
      </c>
      <c r="B414" s="117" t="s">
        <v>301</v>
      </c>
      <c r="C414" s="117" t="s">
        <v>192</v>
      </c>
      <c r="D414" s="178">
        <v>45030.4</v>
      </c>
      <c r="E414" s="316"/>
      <c r="F414" s="316"/>
      <c r="G414" s="316"/>
      <c r="H414" s="178">
        <v>45030.4</v>
      </c>
      <c r="I414" s="178">
        <f>D414-H414</f>
        <v>0</v>
      </c>
      <c r="J414" s="351">
        <f t="shared" si="10"/>
        <v>0</v>
      </c>
      <c r="K414" s="316"/>
    </row>
    <row r="415" spans="1:11" s="1" customFormat="1" ht="12.75">
      <c r="A415" s="71" t="s">
        <v>216</v>
      </c>
      <c r="B415" s="117" t="s">
        <v>302</v>
      </c>
      <c r="C415" s="117"/>
      <c r="D415" s="178">
        <f>D416</f>
        <v>228.6</v>
      </c>
      <c r="E415" s="316"/>
      <c r="F415" s="316"/>
      <c r="G415" s="316"/>
      <c r="H415" s="178">
        <f>H416</f>
        <v>228.6</v>
      </c>
      <c r="I415" s="178">
        <f>I416</f>
        <v>0</v>
      </c>
      <c r="J415" s="351">
        <f t="shared" si="10"/>
        <v>0</v>
      </c>
      <c r="K415" s="316"/>
    </row>
    <row r="416" spans="1:11" s="1" customFormat="1" ht="25.5">
      <c r="A416" s="63" t="s">
        <v>190</v>
      </c>
      <c r="B416" s="117" t="s">
        <v>302</v>
      </c>
      <c r="C416" s="117" t="s">
        <v>178</v>
      </c>
      <c r="D416" s="178">
        <f>D417</f>
        <v>228.6</v>
      </c>
      <c r="E416" s="316"/>
      <c r="F416" s="316"/>
      <c r="G416" s="316"/>
      <c r="H416" s="178">
        <f>H417</f>
        <v>228.6</v>
      </c>
      <c r="I416" s="178">
        <f>I417</f>
        <v>0</v>
      </c>
      <c r="J416" s="351">
        <f t="shared" si="10"/>
        <v>0</v>
      </c>
      <c r="K416" s="316"/>
    </row>
    <row r="417" spans="1:11" s="1" customFormat="1" ht="12.75">
      <c r="A417" s="50" t="s">
        <v>191</v>
      </c>
      <c r="B417" s="117" t="s">
        <v>302</v>
      </c>
      <c r="C417" s="117" t="s">
        <v>192</v>
      </c>
      <c r="D417" s="178">
        <v>228.6</v>
      </c>
      <c r="E417" s="316"/>
      <c r="F417" s="316"/>
      <c r="G417" s="316"/>
      <c r="H417" s="178">
        <v>228.6</v>
      </c>
      <c r="I417" s="178">
        <f>D417-H417</f>
        <v>0</v>
      </c>
      <c r="J417" s="351">
        <f t="shared" si="10"/>
        <v>0</v>
      </c>
      <c r="K417" s="316"/>
    </row>
    <row r="418" spans="1:11" s="3" customFormat="1" ht="12.75">
      <c r="A418" s="147" t="s">
        <v>105</v>
      </c>
      <c r="B418" s="117" t="s">
        <v>303</v>
      </c>
      <c r="C418" s="117"/>
      <c r="D418" s="178">
        <f>D419</f>
        <v>530</v>
      </c>
      <c r="E418" s="318"/>
      <c r="F418" s="318"/>
      <c r="G418" s="318"/>
      <c r="H418" s="178">
        <f>H419</f>
        <v>530</v>
      </c>
      <c r="I418" s="178">
        <f>I419</f>
        <v>0</v>
      </c>
      <c r="J418" s="351">
        <f t="shared" si="10"/>
        <v>0</v>
      </c>
      <c r="K418" s="318"/>
    </row>
    <row r="419" spans="1:11" s="1" customFormat="1" ht="25.5">
      <c r="A419" s="63" t="s">
        <v>190</v>
      </c>
      <c r="B419" s="117" t="s">
        <v>303</v>
      </c>
      <c r="C419" s="117" t="s">
        <v>178</v>
      </c>
      <c r="D419" s="178">
        <f>D420</f>
        <v>530</v>
      </c>
      <c r="E419" s="316"/>
      <c r="F419" s="316"/>
      <c r="G419" s="316"/>
      <c r="H419" s="178">
        <f>H420</f>
        <v>530</v>
      </c>
      <c r="I419" s="178">
        <f>I420</f>
        <v>0</v>
      </c>
      <c r="J419" s="351">
        <f t="shared" si="10"/>
        <v>0</v>
      </c>
      <c r="K419" s="316"/>
    </row>
    <row r="420" spans="1:11" s="15" customFormat="1" ht="12.75">
      <c r="A420" s="50" t="s">
        <v>191</v>
      </c>
      <c r="B420" s="117" t="s">
        <v>303</v>
      </c>
      <c r="C420" s="117" t="s">
        <v>192</v>
      </c>
      <c r="D420" s="178">
        <v>530</v>
      </c>
      <c r="E420" s="316"/>
      <c r="F420" s="321"/>
      <c r="G420" s="321"/>
      <c r="H420" s="178">
        <v>530</v>
      </c>
      <c r="I420" s="178">
        <f>D420-H420</f>
        <v>0</v>
      </c>
      <c r="J420" s="351">
        <f t="shared" si="10"/>
        <v>0</v>
      </c>
      <c r="K420" s="321"/>
    </row>
    <row r="421" spans="1:11" s="15" customFormat="1" ht="12.75">
      <c r="A421" s="71" t="s">
        <v>266</v>
      </c>
      <c r="B421" s="117" t="s">
        <v>306</v>
      </c>
      <c r="C421" s="117"/>
      <c r="D421" s="178">
        <f>D422</f>
        <v>148</v>
      </c>
      <c r="E421" s="316"/>
      <c r="F421" s="321"/>
      <c r="G421" s="321"/>
      <c r="H421" s="178">
        <f>H422</f>
        <v>148</v>
      </c>
      <c r="I421" s="178">
        <f>I422</f>
        <v>0</v>
      </c>
      <c r="J421" s="351">
        <f t="shared" si="10"/>
        <v>0</v>
      </c>
      <c r="K421" s="321"/>
    </row>
    <row r="422" spans="1:11" s="15" customFormat="1" ht="25.5">
      <c r="A422" s="63" t="s">
        <v>190</v>
      </c>
      <c r="B422" s="117" t="s">
        <v>306</v>
      </c>
      <c r="C422" s="117" t="s">
        <v>178</v>
      </c>
      <c r="D422" s="178">
        <f>D423</f>
        <v>148</v>
      </c>
      <c r="E422" s="316"/>
      <c r="F422" s="321"/>
      <c r="G422" s="321"/>
      <c r="H422" s="178">
        <f>H423</f>
        <v>148</v>
      </c>
      <c r="I422" s="178">
        <f>I423</f>
        <v>0</v>
      </c>
      <c r="J422" s="351">
        <f t="shared" si="10"/>
        <v>0</v>
      </c>
      <c r="K422" s="321"/>
    </row>
    <row r="423" spans="1:11" s="15" customFormat="1" ht="12.75">
      <c r="A423" s="50" t="s">
        <v>191</v>
      </c>
      <c r="B423" s="117" t="s">
        <v>306</v>
      </c>
      <c r="C423" s="117" t="s">
        <v>192</v>
      </c>
      <c r="D423" s="178">
        <v>148</v>
      </c>
      <c r="E423" s="316"/>
      <c r="F423" s="321"/>
      <c r="G423" s="321"/>
      <c r="H423" s="178">
        <v>148</v>
      </c>
      <c r="I423" s="178">
        <f>D423-H423</f>
        <v>0</v>
      </c>
      <c r="J423" s="351">
        <f t="shared" si="10"/>
        <v>0</v>
      </c>
      <c r="K423" s="321"/>
    </row>
    <row r="424" spans="1:11" s="1" customFormat="1" ht="12.75">
      <c r="A424" s="71" t="s">
        <v>268</v>
      </c>
      <c r="B424" s="117" t="s">
        <v>304</v>
      </c>
      <c r="C424" s="117"/>
      <c r="D424" s="178">
        <f>D425</f>
        <v>554</v>
      </c>
      <c r="E424" s="316"/>
      <c r="F424" s="316"/>
      <c r="G424" s="316"/>
      <c r="H424" s="178">
        <f>H425</f>
        <v>554</v>
      </c>
      <c r="I424" s="178">
        <f>I425</f>
        <v>0</v>
      </c>
      <c r="J424" s="351">
        <f t="shared" si="10"/>
        <v>0</v>
      </c>
      <c r="K424" s="316"/>
    </row>
    <row r="425" spans="1:11" s="1" customFormat="1" ht="25.5">
      <c r="A425" s="63" t="s">
        <v>190</v>
      </c>
      <c r="B425" s="117" t="s">
        <v>304</v>
      </c>
      <c r="C425" s="117" t="s">
        <v>178</v>
      </c>
      <c r="D425" s="178">
        <f>D426</f>
        <v>554</v>
      </c>
      <c r="E425" s="316"/>
      <c r="F425" s="316"/>
      <c r="G425" s="316"/>
      <c r="H425" s="178">
        <f>H426</f>
        <v>554</v>
      </c>
      <c r="I425" s="178">
        <f>I426</f>
        <v>0</v>
      </c>
      <c r="J425" s="351">
        <f t="shared" si="10"/>
        <v>0</v>
      </c>
      <c r="K425" s="316"/>
    </row>
    <row r="426" spans="1:11" s="3" customFormat="1" ht="12.75">
      <c r="A426" s="50" t="s">
        <v>191</v>
      </c>
      <c r="B426" s="117" t="s">
        <v>304</v>
      </c>
      <c r="C426" s="117" t="s">
        <v>192</v>
      </c>
      <c r="D426" s="178">
        <v>554</v>
      </c>
      <c r="E426" s="318"/>
      <c r="F426" s="318"/>
      <c r="G426" s="318"/>
      <c r="H426" s="178">
        <v>554</v>
      </c>
      <c r="I426" s="178">
        <f>D426-H426</f>
        <v>0</v>
      </c>
      <c r="J426" s="351">
        <f t="shared" si="10"/>
        <v>0</v>
      </c>
      <c r="K426" s="318"/>
    </row>
    <row r="427" spans="1:11" s="1" customFormat="1" ht="12.75">
      <c r="A427" s="71" t="s">
        <v>269</v>
      </c>
      <c r="B427" s="117" t="s">
        <v>305</v>
      </c>
      <c r="C427" s="117"/>
      <c r="D427" s="178">
        <f>D428</f>
        <v>120.9</v>
      </c>
      <c r="E427" s="316"/>
      <c r="F427" s="316"/>
      <c r="G427" s="316"/>
      <c r="H427" s="178">
        <f>H428</f>
        <v>120.9</v>
      </c>
      <c r="I427" s="178">
        <f>I428</f>
        <v>0</v>
      </c>
      <c r="J427" s="351">
        <f t="shared" si="10"/>
        <v>0</v>
      </c>
      <c r="K427" s="316"/>
    </row>
    <row r="428" spans="1:11" s="1" customFormat="1" ht="25.5">
      <c r="A428" s="63" t="s">
        <v>190</v>
      </c>
      <c r="B428" s="117" t="s">
        <v>305</v>
      </c>
      <c r="C428" s="117" t="s">
        <v>178</v>
      </c>
      <c r="D428" s="178">
        <f>D429</f>
        <v>120.9</v>
      </c>
      <c r="E428" s="316"/>
      <c r="F428" s="316"/>
      <c r="G428" s="316"/>
      <c r="H428" s="178">
        <f>H429</f>
        <v>120.9</v>
      </c>
      <c r="I428" s="178">
        <f>I429</f>
        <v>0</v>
      </c>
      <c r="J428" s="351">
        <f t="shared" si="10"/>
        <v>0</v>
      </c>
      <c r="K428" s="316"/>
    </row>
    <row r="429" spans="1:11" s="3" customFormat="1" ht="12.75">
      <c r="A429" s="50" t="s">
        <v>191</v>
      </c>
      <c r="B429" s="117" t="s">
        <v>305</v>
      </c>
      <c r="C429" s="117" t="s">
        <v>192</v>
      </c>
      <c r="D429" s="178">
        <v>120.9</v>
      </c>
      <c r="E429" s="318"/>
      <c r="F429" s="318"/>
      <c r="G429" s="318"/>
      <c r="H429" s="178">
        <v>120.9</v>
      </c>
      <c r="I429" s="178">
        <f>D429-H429</f>
        <v>0</v>
      </c>
      <c r="J429" s="351">
        <f t="shared" si="10"/>
        <v>0</v>
      </c>
      <c r="K429" s="318"/>
    </row>
    <row r="430" spans="1:11" s="3" customFormat="1" ht="25.5">
      <c r="A430" s="50" t="s">
        <v>559</v>
      </c>
      <c r="B430" s="117" t="s">
        <v>560</v>
      </c>
      <c r="C430" s="117"/>
      <c r="D430" s="178">
        <f>D431</f>
        <v>100</v>
      </c>
      <c r="E430" s="318"/>
      <c r="F430" s="318"/>
      <c r="G430" s="318"/>
      <c r="H430" s="178">
        <f>H431</f>
        <v>100</v>
      </c>
      <c r="I430" s="178">
        <f>I431</f>
        <v>0</v>
      </c>
      <c r="J430" s="351">
        <f t="shared" si="10"/>
        <v>0</v>
      </c>
      <c r="K430" s="318"/>
    </row>
    <row r="431" spans="1:11" s="3" customFormat="1" ht="25.5">
      <c r="A431" s="63" t="s">
        <v>190</v>
      </c>
      <c r="B431" s="117" t="s">
        <v>560</v>
      </c>
      <c r="C431" s="117" t="s">
        <v>178</v>
      </c>
      <c r="D431" s="178">
        <f>D432</f>
        <v>100</v>
      </c>
      <c r="E431" s="318"/>
      <c r="F431" s="318"/>
      <c r="G431" s="318"/>
      <c r="H431" s="178">
        <f>H432</f>
        <v>100</v>
      </c>
      <c r="I431" s="178">
        <f>I432</f>
        <v>0</v>
      </c>
      <c r="J431" s="351">
        <f t="shared" si="10"/>
        <v>0</v>
      </c>
      <c r="K431" s="318"/>
    </row>
    <row r="432" spans="1:11" s="3" customFormat="1" ht="12.75">
      <c r="A432" s="50" t="s">
        <v>191</v>
      </c>
      <c r="B432" s="117" t="s">
        <v>560</v>
      </c>
      <c r="C432" s="117" t="s">
        <v>192</v>
      </c>
      <c r="D432" s="178">
        <v>100</v>
      </c>
      <c r="E432" s="318"/>
      <c r="F432" s="318"/>
      <c r="G432" s="318"/>
      <c r="H432" s="178">
        <v>100</v>
      </c>
      <c r="I432" s="178">
        <f>D432-H432</f>
        <v>0</v>
      </c>
      <c r="J432" s="351">
        <f t="shared" si="10"/>
        <v>0</v>
      </c>
      <c r="K432" s="318"/>
    </row>
    <row r="433" spans="1:11" s="3" customFormat="1" ht="12.75">
      <c r="A433" s="50" t="s">
        <v>561</v>
      </c>
      <c r="B433" s="117" t="s">
        <v>562</v>
      </c>
      <c r="C433" s="117"/>
      <c r="D433" s="178">
        <f>D434</f>
        <v>222.5</v>
      </c>
      <c r="E433" s="318"/>
      <c r="F433" s="318"/>
      <c r="G433" s="318"/>
      <c r="H433" s="178">
        <f>H434</f>
        <v>222.5</v>
      </c>
      <c r="I433" s="178">
        <f>I434</f>
        <v>0</v>
      </c>
      <c r="J433" s="351">
        <f t="shared" si="10"/>
        <v>0</v>
      </c>
      <c r="K433" s="318"/>
    </row>
    <row r="434" spans="1:11" s="3" customFormat="1" ht="25.5">
      <c r="A434" s="63" t="s">
        <v>190</v>
      </c>
      <c r="B434" s="117" t="s">
        <v>562</v>
      </c>
      <c r="C434" s="117" t="s">
        <v>178</v>
      </c>
      <c r="D434" s="178">
        <f>D435</f>
        <v>222.5</v>
      </c>
      <c r="E434" s="318"/>
      <c r="F434" s="318"/>
      <c r="G434" s="318"/>
      <c r="H434" s="178">
        <f>H435</f>
        <v>222.5</v>
      </c>
      <c r="I434" s="178">
        <f>I435</f>
        <v>0</v>
      </c>
      <c r="J434" s="351">
        <f t="shared" si="10"/>
        <v>0</v>
      </c>
      <c r="K434" s="318"/>
    </row>
    <row r="435" spans="1:11" s="3" customFormat="1" ht="12.75">
      <c r="A435" s="50" t="s">
        <v>191</v>
      </c>
      <c r="B435" s="117" t="s">
        <v>562</v>
      </c>
      <c r="C435" s="117" t="s">
        <v>192</v>
      </c>
      <c r="D435" s="178">
        <v>222.5</v>
      </c>
      <c r="E435" s="318"/>
      <c r="F435" s="318"/>
      <c r="G435" s="318"/>
      <c r="H435" s="178">
        <v>222.5</v>
      </c>
      <c r="I435" s="178">
        <f>D435-H435</f>
        <v>0</v>
      </c>
      <c r="J435" s="351">
        <f t="shared" si="10"/>
        <v>0</v>
      </c>
      <c r="K435" s="318"/>
    </row>
    <row r="436" spans="1:11" s="1" customFormat="1" ht="51">
      <c r="A436" s="71" t="s">
        <v>365</v>
      </c>
      <c r="B436" s="117" t="s">
        <v>364</v>
      </c>
      <c r="C436" s="117"/>
      <c r="D436" s="178">
        <f>D437</f>
        <v>5900.585</v>
      </c>
      <c r="E436" s="316"/>
      <c r="F436" s="316"/>
      <c r="G436" s="316"/>
      <c r="H436" s="178">
        <f>H437</f>
        <v>5900.599999999999</v>
      </c>
      <c r="I436" s="178">
        <f>I437</f>
        <v>-0.014999999999417923</v>
      </c>
      <c r="J436" s="351">
        <f t="shared" si="10"/>
        <v>-0.014999999999417923</v>
      </c>
      <c r="K436" s="316"/>
    </row>
    <row r="437" spans="1:11" s="1" customFormat="1" ht="25.5">
      <c r="A437" s="63" t="s">
        <v>190</v>
      </c>
      <c r="B437" s="117" t="s">
        <v>364</v>
      </c>
      <c r="C437" s="117" t="s">
        <v>178</v>
      </c>
      <c r="D437" s="178">
        <f>D438</f>
        <v>5900.585</v>
      </c>
      <c r="E437" s="316"/>
      <c r="F437" s="316"/>
      <c r="G437" s="316"/>
      <c r="H437" s="178">
        <f>H438</f>
        <v>5900.599999999999</v>
      </c>
      <c r="I437" s="178">
        <f>I438</f>
        <v>-0.014999999999417923</v>
      </c>
      <c r="J437" s="351">
        <f t="shared" si="10"/>
        <v>-0.014999999999417923</v>
      </c>
      <c r="K437" s="316"/>
    </row>
    <row r="438" spans="1:11" s="3" customFormat="1" ht="12.75">
      <c r="A438" s="50" t="s">
        <v>191</v>
      </c>
      <c r="B438" s="117" t="s">
        <v>364</v>
      </c>
      <c r="C438" s="117" t="s">
        <v>192</v>
      </c>
      <c r="D438" s="178">
        <v>5900.585</v>
      </c>
      <c r="E438" s="318"/>
      <c r="F438" s="318"/>
      <c r="G438" s="318"/>
      <c r="H438" s="178">
        <f>5369.5+404.2+126.9</f>
        <v>5900.599999999999</v>
      </c>
      <c r="I438" s="178">
        <f>D438-H438</f>
        <v>-0.014999999999417923</v>
      </c>
      <c r="J438" s="351">
        <f t="shared" si="10"/>
        <v>-0.014999999999417923</v>
      </c>
      <c r="K438" s="318"/>
    </row>
    <row r="439" spans="1:11" s="1" customFormat="1" ht="51">
      <c r="A439" s="85" t="s">
        <v>249</v>
      </c>
      <c r="B439" s="115" t="s">
        <v>307</v>
      </c>
      <c r="C439" s="115"/>
      <c r="D439" s="183">
        <f>D440</f>
        <v>140</v>
      </c>
      <c r="E439" s="316"/>
      <c r="F439" s="316"/>
      <c r="G439" s="316"/>
      <c r="H439" s="183">
        <f>H440</f>
        <v>140</v>
      </c>
      <c r="I439" s="183">
        <f>I440</f>
        <v>0</v>
      </c>
      <c r="J439" s="351">
        <f t="shared" si="10"/>
        <v>0</v>
      </c>
      <c r="K439" s="316"/>
    </row>
    <row r="440" spans="1:11" s="1" customFormat="1" ht="25.5">
      <c r="A440" s="79" t="s">
        <v>190</v>
      </c>
      <c r="B440" s="115" t="s">
        <v>307</v>
      </c>
      <c r="C440" s="115" t="s">
        <v>178</v>
      </c>
      <c r="D440" s="183">
        <f>D441</f>
        <v>140</v>
      </c>
      <c r="E440" s="316"/>
      <c r="F440" s="316"/>
      <c r="G440" s="316"/>
      <c r="H440" s="183">
        <f>H441</f>
        <v>140</v>
      </c>
      <c r="I440" s="183">
        <f>I441</f>
        <v>0</v>
      </c>
      <c r="J440" s="351">
        <f t="shared" si="10"/>
        <v>0</v>
      </c>
      <c r="K440" s="316"/>
    </row>
    <row r="441" spans="1:11" s="1" customFormat="1" ht="12.75">
      <c r="A441" s="83" t="s">
        <v>191</v>
      </c>
      <c r="B441" s="115" t="s">
        <v>307</v>
      </c>
      <c r="C441" s="115" t="s">
        <v>192</v>
      </c>
      <c r="D441" s="183">
        <f>150-10</f>
        <v>140</v>
      </c>
      <c r="E441" s="316"/>
      <c r="F441" s="316"/>
      <c r="G441" s="316"/>
      <c r="H441" s="183">
        <f>150-10</f>
        <v>140</v>
      </c>
      <c r="I441" s="178">
        <f>D441-H441</f>
        <v>0</v>
      </c>
      <c r="J441" s="351">
        <f t="shared" si="10"/>
        <v>0</v>
      </c>
      <c r="K441" s="316"/>
    </row>
    <row r="442" spans="1:12" s="1" customFormat="1" ht="12.75">
      <c r="A442" s="128" t="s">
        <v>550</v>
      </c>
      <c r="B442" s="127" t="s">
        <v>337</v>
      </c>
      <c r="C442" s="127"/>
      <c r="D442" s="177">
        <f>D443+D451+D454+D457</f>
        <v>2267</v>
      </c>
      <c r="E442" s="316"/>
      <c r="F442" s="316"/>
      <c r="G442" s="316"/>
      <c r="H442" s="177">
        <f>H443+H451+H454+H457</f>
        <v>2017</v>
      </c>
      <c r="I442" s="177">
        <f>I443+I451+I454+I457</f>
        <v>250</v>
      </c>
      <c r="J442" s="351">
        <f>D442-H442</f>
        <v>250</v>
      </c>
      <c r="K442" s="316"/>
      <c r="L442" s="2">
        <f>D442-H442</f>
        <v>250</v>
      </c>
    </row>
    <row r="443" spans="1:11" s="1" customFormat="1" ht="12.75">
      <c r="A443" s="141" t="s">
        <v>98</v>
      </c>
      <c r="B443" s="117" t="s">
        <v>352</v>
      </c>
      <c r="C443" s="117"/>
      <c r="D443" s="178">
        <f>D444+D446+D448</f>
        <v>1537</v>
      </c>
      <c r="E443" s="178">
        <f>E445+E447+E449</f>
        <v>0</v>
      </c>
      <c r="F443" s="178">
        <f>F445+F447+F449</f>
        <v>0</v>
      </c>
      <c r="G443" s="178">
        <f>G445+G447+G449</f>
        <v>0</v>
      </c>
      <c r="H443" s="178">
        <f>H445+H447+H449</f>
        <v>1287</v>
      </c>
      <c r="I443" s="178">
        <f>I444+I446+I448</f>
        <v>250</v>
      </c>
      <c r="J443" s="351">
        <f t="shared" si="10"/>
        <v>250</v>
      </c>
      <c r="K443" s="316"/>
    </row>
    <row r="444" spans="1:11" s="1" customFormat="1" ht="38.25">
      <c r="A444" s="60" t="s">
        <v>116</v>
      </c>
      <c r="B444" s="117" t="s">
        <v>352</v>
      </c>
      <c r="C444" s="117" t="s">
        <v>198</v>
      </c>
      <c r="D444" s="178">
        <f aca="true" t="shared" si="11" ref="D444:I444">D445</f>
        <v>140</v>
      </c>
      <c r="E444" s="178">
        <f t="shared" si="11"/>
        <v>0</v>
      </c>
      <c r="F444" s="178">
        <f t="shared" si="11"/>
        <v>0</v>
      </c>
      <c r="G444" s="178">
        <f t="shared" si="11"/>
        <v>0</v>
      </c>
      <c r="H444" s="178">
        <f t="shared" si="11"/>
        <v>140</v>
      </c>
      <c r="I444" s="178">
        <f t="shared" si="11"/>
        <v>0</v>
      </c>
      <c r="J444" s="351">
        <f t="shared" si="10"/>
        <v>0</v>
      </c>
      <c r="K444" s="316"/>
    </row>
    <row r="445" spans="1:11" s="1" customFormat="1" ht="12.75">
      <c r="A445" s="63" t="s">
        <v>193</v>
      </c>
      <c r="B445" s="117" t="s">
        <v>352</v>
      </c>
      <c r="C445" s="117" t="s">
        <v>194</v>
      </c>
      <c r="D445" s="178">
        <v>140</v>
      </c>
      <c r="E445" s="316"/>
      <c r="F445" s="316"/>
      <c r="G445" s="316"/>
      <c r="H445" s="178">
        <v>140</v>
      </c>
      <c r="I445" s="178">
        <f>D445-H445</f>
        <v>0</v>
      </c>
      <c r="J445" s="351">
        <f t="shared" si="10"/>
        <v>0</v>
      </c>
      <c r="K445" s="316"/>
    </row>
    <row r="446" spans="1:11" s="1" customFormat="1" ht="12.75">
      <c r="A446" s="60" t="s">
        <v>226</v>
      </c>
      <c r="B446" s="117" t="s">
        <v>352</v>
      </c>
      <c r="C446" s="117" t="s">
        <v>188</v>
      </c>
      <c r="D446" s="178">
        <f>D447</f>
        <v>523</v>
      </c>
      <c r="E446" s="316"/>
      <c r="F446" s="316"/>
      <c r="G446" s="316"/>
      <c r="H446" s="178">
        <f>H447</f>
        <v>763</v>
      </c>
      <c r="I446" s="178">
        <f>I447</f>
        <v>-240</v>
      </c>
      <c r="J446" s="351">
        <f t="shared" si="10"/>
        <v>-240</v>
      </c>
      <c r="K446" s="316"/>
    </row>
    <row r="447" spans="1:11" s="1" customFormat="1" ht="12.75">
      <c r="A447" s="60" t="s">
        <v>189</v>
      </c>
      <c r="B447" s="117" t="s">
        <v>352</v>
      </c>
      <c r="C447" s="117" t="s">
        <v>187</v>
      </c>
      <c r="D447" s="178">
        <f>263+500-240</f>
        <v>523</v>
      </c>
      <c r="E447" s="316"/>
      <c r="F447" s="316"/>
      <c r="G447" s="316"/>
      <c r="H447" s="178">
        <f>263+500</f>
        <v>763</v>
      </c>
      <c r="I447" s="178">
        <f>D447-H447</f>
        <v>-240</v>
      </c>
      <c r="J447" s="351">
        <f t="shared" si="10"/>
        <v>-240</v>
      </c>
      <c r="K447" s="316"/>
    </row>
    <row r="448" spans="1:11" s="1" customFormat="1" ht="25.5">
      <c r="A448" s="63" t="s">
        <v>190</v>
      </c>
      <c r="B448" s="117" t="s">
        <v>352</v>
      </c>
      <c r="C448" s="117" t="s">
        <v>178</v>
      </c>
      <c r="D448" s="178">
        <f aca="true" t="shared" si="12" ref="D448:I448">D449+D450</f>
        <v>874</v>
      </c>
      <c r="E448" s="178">
        <f t="shared" si="12"/>
        <v>0</v>
      </c>
      <c r="F448" s="178">
        <f t="shared" si="12"/>
        <v>0</v>
      </c>
      <c r="G448" s="178">
        <f t="shared" si="12"/>
        <v>0</v>
      </c>
      <c r="H448" s="178">
        <f t="shared" si="12"/>
        <v>384</v>
      </c>
      <c r="I448" s="178">
        <f t="shared" si="12"/>
        <v>490</v>
      </c>
      <c r="J448" s="351">
        <f t="shared" si="10"/>
        <v>490</v>
      </c>
      <c r="K448" s="316"/>
    </row>
    <row r="449" spans="1:11" s="1" customFormat="1" ht="12.75">
      <c r="A449" s="50" t="s">
        <v>191</v>
      </c>
      <c r="B449" s="117" t="s">
        <v>352</v>
      </c>
      <c r="C449" s="117" t="s">
        <v>192</v>
      </c>
      <c r="D449" s="178">
        <f>384</f>
        <v>384</v>
      </c>
      <c r="E449" s="316"/>
      <c r="F449" s="316"/>
      <c r="G449" s="316"/>
      <c r="H449" s="178">
        <v>384</v>
      </c>
      <c r="I449" s="178">
        <f>D449-H449</f>
        <v>0</v>
      </c>
      <c r="J449" s="351">
        <f t="shared" si="10"/>
        <v>0</v>
      </c>
      <c r="K449" s="316"/>
    </row>
    <row r="450" spans="1:11" s="1" customFormat="1" ht="12.75">
      <c r="A450" s="50" t="s">
        <v>195</v>
      </c>
      <c r="B450" s="117" t="s">
        <v>352</v>
      </c>
      <c r="C450" s="117" t="s">
        <v>196</v>
      </c>
      <c r="D450" s="178">
        <v>490</v>
      </c>
      <c r="E450" s="316"/>
      <c r="F450" s="316"/>
      <c r="G450" s="316"/>
      <c r="H450" s="178">
        <v>0</v>
      </c>
      <c r="I450" s="178">
        <f>D450-H450</f>
        <v>490</v>
      </c>
      <c r="J450" s="351">
        <f t="shared" si="10"/>
        <v>490</v>
      </c>
      <c r="K450" s="316"/>
    </row>
    <row r="451" spans="1:11" s="1" customFormat="1" ht="12.75">
      <c r="A451" s="141" t="s">
        <v>555</v>
      </c>
      <c r="B451" s="117" t="s">
        <v>554</v>
      </c>
      <c r="C451" s="117"/>
      <c r="D451" s="178">
        <f>D452</f>
        <v>30</v>
      </c>
      <c r="E451" s="316"/>
      <c r="F451" s="316"/>
      <c r="G451" s="316"/>
      <c r="H451" s="178">
        <f>H452</f>
        <v>30</v>
      </c>
      <c r="I451" s="178">
        <f>I452</f>
        <v>0</v>
      </c>
      <c r="J451" s="351">
        <f t="shared" si="10"/>
        <v>0</v>
      </c>
      <c r="K451" s="316"/>
    </row>
    <row r="452" spans="1:11" s="1" customFormat="1" ht="25.5">
      <c r="A452" s="63" t="s">
        <v>190</v>
      </c>
      <c r="B452" s="117" t="s">
        <v>554</v>
      </c>
      <c r="C452" s="117" t="s">
        <v>178</v>
      </c>
      <c r="D452" s="178">
        <f>D453</f>
        <v>30</v>
      </c>
      <c r="E452" s="316"/>
      <c r="F452" s="316"/>
      <c r="G452" s="316"/>
      <c r="H452" s="178">
        <f>H453</f>
        <v>30</v>
      </c>
      <c r="I452" s="178">
        <f>I453</f>
        <v>0</v>
      </c>
      <c r="J452" s="351">
        <f t="shared" si="10"/>
        <v>0</v>
      </c>
      <c r="K452" s="316"/>
    </row>
    <row r="453" spans="1:11" s="1" customFormat="1" ht="12.75">
      <c r="A453" s="50" t="s">
        <v>191</v>
      </c>
      <c r="B453" s="117" t="s">
        <v>554</v>
      </c>
      <c r="C453" s="117" t="s">
        <v>192</v>
      </c>
      <c r="D453" s="178">
        <v>30</v>
      </c>
      <c r="E453" s="316"/>
      <c r="F453" s="316"/>
      <c r="G453" s="316"/>
      <c r="H453" s="178">
        <v>30</v>
      </c>
      <c r="I453" s="178">
        <f>D453-H453</f>
        <v>0</v>
      </c>
      <c r="J453" s="351">
        <f t="shared" si="10"/>
        <v>0</v>
      </c>
      <c r="K453" s="316"/>
    </row>
    <row r="454" spans="1:11" s="1" customFormat="1" ht="29.25" customHeight="1">
      <c r="A454" s="50" t="s">
        <v>563</v>
      </c>
      <c r="B454" s="114" t="s">
        <v>564</v>
      </c>
      <c r="C454" s="117"/>
      <c r="D454" s="178">
        <f>D455</f>
        <v>110</v>
      </c>
      <c r="E454" s="316"/>
      <c r="F454" s="316"/>
      <c r="G454" s="316"/>
      <c r="H454" s="178">
        <f>H455</f>
        <v>110</v>
      </c>
      <c r="I454" s="178">
        <f>I455</f>
        <v>0</v>
      </c>
      <c r="J454" s="351">
        <f aca="true" t="shared" si="13" ref="J454:J517">D454-H454</f>
        <v>0</v>
      </c>
      <c r="K454" s="316"/>
    </row>
    <row r="455" spans="1:11" s="1" customFormat="1" ht="25.5">
      <c r="A455" s="63" t="s">
        <v>190</v>
      </c>
      <c r="B455" s="114" t="s">
        <v>564</v>
      </c>
      <c r="C455" s="117" t="s">
        <v>188</v>
      </c>
      <c r="D455" s="178">
        <f>D456</f>
        <v>110</v>
      </c>
      <c r="E455" s="316"/>
      <c r="F455" s="316"/>
      <c r="G455" s="316"/>
      <c r="H455" s="178">
        <f>H456</f>
        <v>110</v>
      </c>
      <c r="I455" s="178">
        <f>I456</f>
        <v>0</v>
      </c>
      <c r="J455" s="351">
        <f t="shared" si="13"/>
        <v>0</v>
      </c>
      <c r="K455" s="316"/>
    </row>
    <row r="456" spans="1:11" s="1" customFormat="1" ht="12.75">
      <c r="A456" s="50" t="s">
        <v>191</v>
      </c>
      <c r="B456" s="114" t="s">
        <v>564</v>
      </c>
      <c r="C456" s="117" t="s">
        <v>187</v>
      </c>
      <c r="D456" s="178">
        <v>110</v>
      </c>
      <c r="E456" s="316"/>
      <c r="F456" s="316"/>
      <c r="G456" s="316"/>
      <c r="H456" s="178">
        <v>110</v>
      </c>
      <c r="I456" s="178">
        <f>D456-H456</f>
        <v>0</v>
      </c>
      <c r="J456" s="351">
        <f t="shared" si="13"/>
        <v>0</v>
      </c>
      <c r="K456" s="316"/>
    </row>
    <row r="457" spans="1:11" s="1" customFormat="1" ht="12.75">
      <c r="A457" s="89" t="s">
        <v>309</v>
      </c>
      <c r="B457" s="117" t="s">
        <v>372</v>
      </c>
      <c r="C457" s="117"/>
      <c r="D457" s="178">
        <f>D458</f>
        <v>590</v>
      </c>
      <c r="E457" s="316"/>
      <c r="F457" s="316"/>
      <c r="G457" s="316"/>
      <c r="H457" s="178">
        <f>H458</f>
        <v>590</v>
      </c>
      <c r="I457" s="178">
        <f>I458</f>
        <v>0</v>
      </c>
      <c r="J457" s="351">
        <f t="shared" si="13"/>
        <v>0</v>
      </c>
      <c r="K457" s="316"/>
    </row>
    <row r="458" spans="1:11" s="1" customFormat="1" ht="25.5">
      <c r="A458" s="63" t="s">
        <v>190</v>
      </c>
      <c r="B458" s="117" t="s">
        <v>372</v>
      </c>
      <c r="C458" s="117" t="s">
        <v>178</v>
      </c>
      <c r="D458" s="178">
        <f>D459</f>
        <v>590</v>
      </c>
      <c r="E458" s="316"/>
      <c r="F458" s="316"/>
      <c r="G458" s="316"/>
      <c r="H458" s="178">
        <f>H459</f>
        <v>590</v>
      </c>
      <c r="I458" s="178">
        <f>I459</f>
        <v>0</v>
      </c>
      <c r="J458" s="351">
        <f t="shared" si="13"/>
        <v>0</v>
      </c>
      <c r="K458" s="316"/>
    </row>
    <row r="459" spans="1:11" s="1" customFormat="1" ht="12.75">
      <c r="A459" s="50" t="s">
        <v>191</v>
      </c>
      <c r="B459" s="117" t="s">
        <v>372</v>
      </c>
      <c r="C459" s="117" t="s">
        <v>192</v>
      </c>
      <c r="D459" s="178">
        <v>590</v>
      </c>
      <c r="E459" s="316"/>
      <c r="F459" s="316"/>
      <c r="G459" s="316"/>
      <c r="H459" s="178">
        <v>590</v>
      </c>
      <c r="I459" s="178">
        <f>D459-H459</f>
        <v>0</v>
      </c>
      <c r="J459" s="351">
        <f t="shared" si="13"/>
        <v>0</v>
      </c>
      <c r="K459" s="316"/>
    </row>
    <row r="460" spans="1:11" s="1" customFormat="1" ht="25.5">
      <c r="A460" s="126" t="s">
        <v>442</v>
      </c>
      <c r="B460" s="127" t="s">
        <v>15</v>
      </c>
      <c r="C460" s="127"/>
      <c r="D460" s="177">
        <f>D461+D464</f>
        <v>40018</v>
      </c>
      <c r="E460" s="316"/>
      <c r="F460" s="316"/>
      <c r="G460" s="316"/>
      <c r="H460" s="177">
        <f>H461+H464</f>
        <v>40018</v>
      </c>
      <c r="I460" s="177">
        <f>I461+I464</f>
        <v>0</v>
      </c>
      <c r="J460" s="351">
        <f t="shared" si="13"/>
        <v>0</v>
      </c>
      <c r="K460" s="316"/>
    </row>
    <row r="461" spans="1:11" s="1" customFormat="1" ht="51">
      <c r="A461" s="73" t="s">
        <v>231</v>
      </c>
      <c r="B461" s="117" t="s">
        <v>16</v>
      </c>
      <c r="C461" s="117"/>
      <c r="D461" s="178">
        <f>D462</f>
        <v>39518</v>
      </c>
      <c r="E461" s="316"/>
      <c r="F461" s="316"/>
      <c r="G461" s="316"/>
      <c r="H461" s="178">
        <f>H462</f>
        <v>39518</v>
      </c>
      <c r="I461" s="178">
        <f>I462</f>
        <v>0</v>
      </c>
      <c r="J461" s="351">
        <f t="shared" si="13"/>
        <v>0</v>
      </c>
      <c r="K461" s="316"/>
    </row>
    <row r="462" spans="1:11" s="1" customFormat="1" ht="12.75">
      <c r="A462" s="60" t="s">
        <v>226</v>
      </c>
      <c r="B462" s="117" t="s">
        <v>16</v>
      </c>
      <c r="C462" s="117" t="s">
        <v>188</v>
      </c>
      <c r="D462" s="178">
        <f>D463</f>
        <v>39518</v>
      </c>
      <c r="E462" s="316"/>
      <c r="F462" s="316"/>
      <c r="G462" s="316"/>
      <c r="H462" s="178">
        <f>H463</f>
        <v>39518</v>
      </c>
      <c r="I462" s="178">
        <f>I463</f>
        <v>0</v>
      </c>
      <c r="J462" s="351">
        <f t="shared" si="13"/>
        <v>0</v>
      </c>
      <c r="K462" s="316"/>
    </row>
    <row r="463" spans="1:11" s="1" customFormat="1" ht="12.75">
      <c r="A463" s="60" t="s">
        <v>189</v>
      </c>
      <c r="B463" s="117" t="s">
        <v>16</v>
      </c>
      <c r="C463" s="117" t="s">
        <v>187</v>
      </c>
      <c r="D463" s="178">
        <f>37783.8+1734.2</f>
        <v>39518</v>
      </c>
      <c r="E463" s="316"/>
      <c r="F463" s="316"/>
      <c r="G463" s="316"/>
      <c r="H463" s="178">
        <f>37783.8+1734.2</f>
        <v>39518</v>
      </c>
      <c r="I463" s="178">
        <f>D463-H463</f>
        <v>0</v>
      </c>
      <c r="J463" s="351">
        <f t="shared" si="13"/>
        <v>0</v>
      </c>
      <c r="K463" s="316"/>
    </row>
    <row r="464" spans="1:11" s="1" customFormat="1" ht="38.25">
      <c r="A464" s="46" t="s">
        <v>504</v>
      </c>
      <c r="B464" s="117" t="s">
        <v>505</v>
      </c>
      <c r="C464" s="117"/>
      <c r="D464" s="178">
        <f>D465</f>
        <v>500</v>
      </c>
      <c r="E464" s="316"/>
      <c r="F464" s="316"/>
      <c r="G464" s="316"/>
      <c r="H464" s="178">
        <f>H465</f>
        <v>500</v>
      </c>
      <c r="I464" s="178">
        <f>I465</f>
        <v>0</v>
      </c>
      <c r="J464" s="351">
        <f t="shared" si="13"/>
        <v>0</v>
      </c>
      <c r="K464" s="316"/>
    </row>
    <row r="465" spans="1:11" s="1" customFormat="1" ht="12.75">
      <c r="A465" s="60" t="s">
        <v>226</v>
      </c>
      <c r="B465" s="117" t="s">
        <v>505</v>
      </c>
      <c r="C465" s="117" t="s">
        <v>188</v>
      </c>
      <c r="D465" s="178">
        <f>D466</f>
        <v>500</v>
      </c>
      <c r="E465" s="316"/>
      <c r="F465" s="316"/>
      <c r="G465" s="316"/>
      <c r="H465" s="178">
        <f>H466</f>
        <v>500</v>
      </c>
      <c r="I465" s="178">
        <f>I466</f>
        <v>0</v>
      </c>
      <c r="J465" s="351">
        <f t="shared" si="13"/>
        <v>0</v>
      </c>
      <c r="K465" s="316"/>
    </row>
    <row r="466" spans="1:11" s="1" customFormat="1" ht="12.75">
      <c r="A466" s="60" t="s">
        <v>189</v>
      </c>
      <c r="B466" s="117" t="s">
        <v>505</v>
      </c>
      <c r="C466" s="117" t="s">
        <v>187</v>
      </c>
      <c r="D466" s="178">
        <v>500</v>
      </c>
      <c r="E466" s="316"/>
      <c r="F466" s="316"/>
      <c r="G466" s="316"/>
      <c r="H466" s="178">
        <v>500</v>
      </c>
      <c r="I466" s="178">
        <f>D466-H466</f>
        <v>0</v>
      </c>
      <c r="J466" s="351">
        <f t="shared" si="13"/>
        <v>0</v>
      </c>
      <c r="K466" s="316"/>
    </row>
    <row r="467" spans="1:11" s="1" customFormat="1" ht="12.75">
      <c r="A467" s="126" t="s">
        <v>538</v>
      </c>
      <c r="B467" s="127" t="s">
        <v>17</v>
      </c>
      <c r="C467" s="127"/>
      <c r="D467" s="177">
        <f>D471+D468+D479+D476</f>
        <v>30291</v>
      </c>
      <c r="E467" s="316"/>
      <c r="F467" s="316"/>
      <c r="G467" s="316"/>
      <c r="H467" s="177">
        <f>H471+H468+H479+H476</f>
        <v>30291</v>
      </c>
      <c r="I467" s="177">
        <f>I471+I468+I479+I476</f>
        <v>0</v>
      </c>
      <c r="J467" s="351">
        <f t="shared" si="13"/>
        <v>0</v>
      </c>
      <c r="K467" s="316"/>
    </row>
    <row r="468" spans="1:11" s="1" customFormat="1" ht="12.75">
      <c r="A468" s="46" t="s">
        <v>106</v>
      </c>
      <c r="B468" s="117" t="s">
        <v>459</v>
      </c>
      <c r="C468" s="117"/>
      <c r="D468" s="178">
        <f>D469</f>
        <v>7199.5</v>
      </c>
      <c r="E468" s="316"/>
      <c r="F468" s="316"/>
      <c r="G468" s="316"/>
      <c r="H468" s="178">
        <f>H469</f>
        <v>7199.5</v>
      </c>
      <c r="I468" s="178">
        <f>I469</f>
        <v>0</v>
      </c>
      <c r="J468" s="351">
        <f t="shared" si="13"/>
        <v>0</v>
      </c>
      <c r="K468" s="316"/>
    </row>
    <row r="469" spans="1:11" s="1" customFormat="1" ht="25.5">
      <c r="A469" s="60" t="s">
        <v>263</v>
      </c>
      <c r="B469" s="117" t="s">
        <v>459</v>
      </c>
      <c r="C469" s="117" t="s">
        <v>178</v>
      </c>
      <c r="D469" s="178">
        <f>D470</f>
        <v>7199.5</v>
      </c>
      <c r="E469" s="316"/>
      <c r="F469" s="316"/>
      <c r="G469" s="316"/>
      <c r="H469" s="178">
        <f>H470</f>
        <v>7199.5</v>
      </c>
      <c r="I469" s="178">
        <f>I470</f>
        <v>0</v>
      </c>
      <c r="J469" s="351">
        <f t="shared" si="13"/>
        <v>0</v>
      </c>
      <c r="K469" s="316"/>
    </row>
    <row r="470" spans="1:11" s="1" customFormat="1" ht="12.75">
      <c r="A470" s="60" t="s">
        <v>197</v>
      </c>
      <c r="B470" s="117" t="s">
        <v>459</v>
      </c>
      <c r="C470" s="117" t="s">
        <v>196</v>
      </c>
      <c r="D470" s="178">
        <v>7199.5</v>
      </c>
      <c r="E470" s="316"/>
      <c r="F470" s="316"/>
      <c r="G470" s="316"/>
      <c r="H470" s="178">
        <v>7199.5</v>
      </c>
      <c r="I470" s="178">
        <f>D470-H470</f>
        <v>0</v>
      </c>
      <c r="J470" s="351">
        <f t="shared" si="13"/>
        <v>0</v>
      </c>
      <c r="K470" s="316"/>
    </row>
    <row r="471" spans="1:11" s="1" customFormat="1" ht="12.75">
      <c r="A471" s="46" t="s">
        <v>7</v>
      </c>
      <c r="B471" s="117" t="s">
        <v>361</v>
      </c>
      <c r="C471" s="117"/>
      <c r="D471" s="178">
        <f>D472+D474</f>
        <v>4461.5</v>
      </c>
      <c r="E471" s="316"/>
      <c r="F471" s="316"/>
      <c r="G471" s="316"/>
      <c r="H471" s="178">
        <f>H472+H474</f>
        <v>4461.5</v>
      </c>
      <c r="I471" s="178">
        <f>I472+I474</f>
        <v>0</v>
      </c>
      <c r="J471" s="351">
        <f t="shared" si="13"/>
        <v>0</v>
      </c>
      <c r="K471" s="316"/>
    </row>
    <row r="472" spans="1:11" s="1" customFormat="1" ht="12.75">
      <c r="A472" s="60" t="s">
        <v>226</v>
      </c>
      <c r="B472" s="117" t="s">
        <v>361</v>
      </c>
      <c r="C472" s="117" t="s">
        <v>188</v>
      </c>
      <c r="D472" s="178">
        <f>D473</f>
        <v>1138.7</v>
      </c>
      <c r="E472" s="316"/>
      <c r="F472" s="316"/>
      <c r="G472" s="316"/>
      <c r="H472" s="178">
        <f>H473</f>
        <v>1138.7</v>
      </c>
      <c r="I472" s="178">
        <f>I473</f>
        <v>0</v>
      </c>
      <c r="J472" s="351">
        <f t="shared" si="13"/>
        <v>0</v>
      </c>
      <c r="K472" s="316"/>
    </row>
    <row r="473" spans="1:11" s="1" customFormat="1" ht="12.75">
      <c r="A473" s="60" t="s">
        <v>189</v>
      </c>
      <c r="B473" s="117" t="s">
        <v>361</v>
      </c>
      <c r="C473" s="117" t="s">
        <v>187</v>
      </c>
      <c r="D473" s="178">
        <v>1138.7</v>
      </c>
      <c r="E473" s="316"/>
      <c r="F473" s="316"/>
      <c r="G473" s="316"/>
      <c r="H473" s="178">
        <v>1138.7</v>
      </c>
      <c r="I473" s="178">
        <f>D473-H473</f>
        <v>0</v>
      </c>
      <c r="J473" s="351">
        <f t="shared" si="13"/>
        <v>0</v>
      </c>
      <c r="K473" s="316"/>
    </row>
    <row r="474" spans="1:11" s="1" customFormat="1" ht="25.5">
      <c r="A474" s="60" t="s">
        <v>263</v>
      </c>
      <c r="B474" s="117" t="s">
        <v>361</v>
      </c>
      <c r="C474" s="117" t="s">
        <v>178</v>
      </c>
      <c r="D474" s="178">
        <f>D475</f>
        <v>3322.8</v>
      </c>
      <c r="E474" s="316"/>
      <c r="F474" s="316"/>
      <c r="G474" s="316"/>
      <c r="H474" s="178">
        <f>H475</f>
        <v>3322.8</v>
      </c>
      <c r="I474" s="178">
        <f>I475</f>
        <v>0</v>
      </c>
      <c r="J474" s="351">
        <f t="shared" si="13"/>
        <v>0</v>
      </c>
      <c r="K474" s="316"/>
    </row>
    <row r="475" spans="1:11" s="1" customFormat="1" ht="12.75">
      <c r="A475" s="60" t="s">
        <v>197</v>
      </c>
      <c r="B475" s="117" t="s">
        <v>361</v>
      </c>
      <c r="C475" s="117" t="s">
        <v>196</v>
      </c>
      <c r="D475" s="178">
        <v>3322.8</v>
      </c>
      <c r="E475" s="316"/>
      <c r="F475" s="316"/>
      <c r="G475" s="316"/>
      <c r="H475" s="178">
        <v>3322.8</v>
      </c>
      <c r="I475" s="178">
        <f>D475-H475</f>
        <v>0</v>
      </c>
      <c r="J475" s="351">
        <f t="shared" si="13"/>
        <v>0</v>
      </c>
      <c r="K475" s="316"/>
    </row>
    <row r="476" spans="1:11" s="1" customFormat="1" ht="12.75">
      <c r="A476" s="46" t="s">
        <v>593</v>
      </c>
      <c r="B476" s="117" t="s">
        <v>592</v>
      </c>
      <c r="C476" s="117"/>
      <c r="D476" s="178">
        <f>D477</f>
        <v>15130</v>
      </c>
      <c r="E476" s="316"/>
      <c r="F476" s="316"/>
      <c r="G476" s="316"/>
      <c r="H476" s="178">
        <f>H477</f>
        <v>15130</v>
      </c>
      <c r="I476" s="178">
        <f>I477</f>
        <v>0</v>
      </c>
      <c r="J476" s="351">
        <f t="shared" si="13"/>
        <v>0</v>
      </c>
      <c r="K476" s="316"/>
    </row>
    <row r="477" spans="1:11" s="1" customFormat="1" ht="12.75">
      <c r="A477" s="60" t="s">
        <v>226</v>
      </c>
      <c r="B477" s="117" t="s">
        <v>592</v>
      </c>
      <c r="C477" s="117" t="s">
        <v>188</v>
      </c>
      <c r="D477" s="178">
        <f>D478</f>
        <v>15130</v>
      </c>
      <c r="E477" s="316"/>
      <c r="F477" s="316"/>
      <c r="G477" s="316"/>
      <c r="H477" s="178">
        <f>H478</f>
        <v>15130</v>
      </c>
      <c r="I477" s="178">
        <f>I478</f>
        <v>0</v>
      </c>
      <c r="J477" s="351">
        <f t="shared" si="13"/>
        <v>0</v>
      </c>
      <c r="K477" s="316"/>
    </row>
    <row r="478" spans="1:11" s="1" customFormat="1" ht="12.75">
      <c r="A478" s="60" t="s">
        <v>189</v>
      </c>
      <c r="B478" s="117" t="s">
        <v>592</v>
      </c>
      <c r="C478" s="117" t="s">
        <v>187</v>
      </c>
      <c r="D478" s="178">
        <f>14900+230</f>
        <v>15130</v>
      </c>
      <c r="E478" s="316"/>
      <c r="F478" s="316"/>
      <c r="G478" s="316"/>
      <c r="H478" s="178">
        <f>14900+230</f>
        <v>15130</v>
      </c>
      <c r="I478" s="178">
        <f>D478-H478</f>
        <v>0</v>
      </c>
      <c r="J478" s="351">
        <f t="shared" si="13"/>
        <v>0</v>
      </c>
      <c r="K478" s="316"/>
    </row>
    <row r="479" spans="1:11" s="1" customFormat="1" ht="25.5">
      <c r="A479" s="46" t="s">
        <v>507</v>
      </c>
      <c r="B479" s="117" t="s">
        <v>506</v>
      </c>
      <c r="C479" s="117"/>
      <c r="D479" s="178">
        <f>D480</f>
        <v>3500</v>
      </c>
      <c r="E479" s="316"/>
      <c r="F479" s="316"/>
      <c r="G479" s="316"/>
      <c r="H479" s="178">
        <f>H480</f>
        <v>3500</v>
      </c>
      <c r="I479" s="178">
        <f>I480</f>
        <v>0</v>
      </c>
      <c r="J479" s="351">
        <f t="shared" si="13"/>
        <v>0</v>
      </c>
      <c r="K479" s="316"/>
    </row>
    <row r="480" spans="1:11" s="1" customFormat="1" ht="12.75">
      <c r="A480" s="60" t="s">
        <v>226</v>
      </c>
      <c r="B480" s="117" t="s">
        <v>506</v>
      </c>
      <c r="C480" s="117" t="s">
        <v>188</v>
      </c>
      <c r="D480" s="178">
        <f>D481</f>
        <v>3500</v>
      </c>
      <c r="E480" s="316"/>
      <c r="F480" s="316"/>
      <c r="G480" s="316"/>
      <c r="H480" s="178">
        <f>H481</f>
        <v>3500</v>
      </c>
      <c r="I480" s="178">
        <f>I481</f>
        <v>0</v>
      </c>
      <c r="J480" s="351">
        <f t="shared" si="13"/>
        <v>0</v>
      </c>
      <c r="K480" s="316"/>
    </row>
    <row r="481" spans="1:11" s="1" customFormat="1" ht="12.75">
      <c r="A481" s="60" t="s">
        <v>189</v>
      </c>
      <c r="B481" s="117" t="s">
        <v>506</v>
      </c>
      <c r="C481" s="117" t="s">
        <v>187</v>
      </c>
      <c r="D481" s="178">
        <v>3500</v>
      </c>
      <c r="E481" s="316"/>
      <c r="F481" s="316"/>
      <c r="G481" s="316"/>
      <c r="H481" s="178">
        <v>3500</v>
      </c>
      <c r="I481" s="178">
        <f>D481-H481</f>
        <v>0</v>
      </c>
      <c r="J481" s="351">
        <f t="shared" si="13"/>
        <v>0</v>
      </c>
      <c r="K481" s="316"/>
    </row>
    <row r="482" spans="1:11" s="1" customFormat="1" ht="25.5">
      <c r="A482" s="109" t="s">
        <v>539</v>
      </c>
      <c r="B482" s="127" t="s">
        <v>80</v>
      </c>
      <c r="C482" s="127"/>
      <c r="D482" s="188">
        <f>D483</f>
        <v>717.9</v>
      </c>
      <c r="E482" s="316"/>
      <c r="F482" s="316"/>
      <c r="G482" s="316"/>
      <c r="H482" s="188">
        <f>H483</f>
        <v>717.9</v>
      </c>
      <c r="I482" s="188">
        <f>I483</f>
        <v>0</v>
      </c>
      <c r="J482" s="351">
        <f t="shared" si="13"/>
        <v>0</v>
      </c>
      <c r="K482" s="316"/>
    </row>
    <row r="483" spans="1:11" s="1" customFormat="1" ht="12.75">
      <c r="A483" s="141" t="s">
        <v>540</v>
      </c>
      <c r="B483" s="122" t="s">
        <v>81</v>
      </c>
      <c r="C483" s="117"/>
      <c r="D483" s="186">
        <f>D484+D486</f>
        <v>717.9</v>
      </c>
      <c r="E483" s="316"/>
      <c r="F483" s="316"/>
      <c r="G483" s="316"/>
      <c r="H483" s="186">
        <f>H484+H486</f>
        <v>717.9</v>
      </c>
      <c r="I483" s="186">
        <f>I484+I486</f>
        <v>0</v>
      </c>
      <c r="J483" s="351">
        <f t="shared" si="13"/>
        <v>0</v>
      </c>
      <c r="K483" s="316"/>
    </row>
    <row r="484" spans="1:11" s="1" customFormat="1" ht="12.75">
      <c r="A484" s="60" t="s">
        <v>226</v>
      </c>
      <c r="B484" s="122" t="s">
        <v>81</v>
      </c>
      <c r="C484" s="117" t="s">
        <v>188</v>
      </c>
      <c r="D484" s="186">
        <f>D485</f>
        <v>217.9</v>
      </c>
      <c r="E484" s="316"/>
      <c r="F484" s="316"/>
      <c r="G484" s="316"/>
      <c r="H484" s="186">
        <f>H485</f>
        <v>217.9</v>
      </c>
      <c r="I484" s="186">
        <f>I485</f>
        <v>0</v>
      </c>
      <c r="J484" s="351">
        <f t="shared" si="13"/>
        <v>0</v>
      </c>
      <c r="K484" s="316"/>
    </row>
    <row r="485" spans="1:11" s="1" customFormat="1" ht="12.75">
      <c r="A485" s="60" t="s">
        <v>189</v>
      </c>
      <c r="B485" s="122" t="s">
        <v>81</v>
      </c>
      <c r="C485" s="117" t="s">
        <v>187</v>
      </c>
      <c r="D485" s="186">
        <f>166.8+51.1</f>
        <v>217.9</v>
      </c>
      <c r="E485" s="316"/>
      <c r="F485" s="316"/>
      <c r="G485" s="316"/>
      <c r="H485" s="186">
        <f>166.8+51.1</f>
        <v>217.9</v>
      </c>
      <c r="I485" s="178">
        <f>D485-H485</f>
        <v>0</v>
      </c>
      <c r="J485" s="351">
        <f t="shared" si="13"/>
        <v>0</v>
      </c>
      <c r="K485" s="316"/>
    </row>
    <row r="486" spans="1:11" s="1" customFormat="1" ht="25.5">
      <c r="A486" s="79" t="s">
        <v>190</v>
      </c>
      <c r="B486" s="122" t="s">
        <v>81</v>
      </c>
      <c r="C486" s="117" t="s">
        <v>178</v>
      </c>
      <c r="D486" s="186">
        <f>D487</f>
        <v>500</v>
      </c>
      <c r="E486" s="316"/>
      <c r="F486" s="316"/>
      <c r="G486" s="316"/>
      <c r="H486" s="186">
        <f>H487</f>
        <v>500</v>
      </c>
      <c r="I486" s="372">
        <f>I487</f>
        <v>0</v>
      </c>
      <c r="J486" s="351">
        <f t="shared" si="13"/>
        <v>0</v>
      </c>
      <c r="K486" s="316"/>
    </row>
    <row r="487" spans="1:11" s="1" customFormat="1" ht="12.75">
      <c r="A487" s="60" t="s">
        <v>197</v>
      </c>
      <c r="B487" s="122" t="s">
        <v>81</v>
      </c>
      <c r="C487" s="117" t="s">
        <v>196</v>
      </c>
      <c r="D487" s="186">
        <v>500</v>
      </c>
      <c r="E487" s="316"/>
      <c r="F487" s="316"/>
      <c r="G487" s="316"/>
      <c r="H487" s="186">
        <v>500</v>
      </c>
      <c r="I487" s="178">
        <f>D487-H487</f>
        <v>0</v>
      </c>
      <c r="J487" s="351">
        <f t="shared" si="13"/>
        <v>0</v>
      </c>
      <c r="K487" s="316"/>
    </row>
    <row r="488" spans="1:11" s="1" customFormat="1" ht="25.5">
      <c r="A488" s="126" t="s">
        <v>462</v>
      </c>
      <c r="B488" s="127" t="s">
        <v>52</v>
      </c>
      <c r="C488" s="127"/>
      <c r="D488" s="177">
        <f>D489+D498+D512</f>
        <v>3910.964</v>
      </c>
      <c r="E488" s="316"/>
      <c r="F488" s="316"/>
      <c r="G488" s="316"/>
      <c r="H488" s="177">
        <f>H489+H498+H512</f>
        <v>3911</v>
      </c>
      <c r="I488" s="177">
        <f>I489+I498+I512</f>
        <v>-0.03600000000005821</v>
      </c>
      <c r="J488" s="351">
        <f t="shared" si="13"/>
        <v>-0.03600000000005821</v>
      </c>
      <c r="K488" s="316"/>
    </row>
    <row r="489" spans="1:11" s="1" customFormat="1" ht="25.5">
      <c r="A489" s="44" t="s">
        <v>530</v>
      </c>
      <c r="B489" s="116" t="s">
        <v>220</v>
      </c>
      <c r="C489" s="116"/>
      <c r="D489" s="184">
        <f>D490+D495</f>
        <v>2517.964</v>
      </c>
      <c r="E489" s="316"/>
      <c r="F489" s="316"/>
      <c r="G489" s="316"/>
      <c r="H489" s="184">
        <f>H490+H495</f>
        <v>2518</v>
      </c>
      <c r="I489" s="184">
        <f>I490+I495</f>
        <v>-0.03600000000005821</v>
      </c>
      <c r="J489" s="351">
        <f t="shared" si="13"/>
        <v>-0.03600000000005821</v>
      </c>
      <c r="K489" s="316"/>
    </row>
    <row r="490" spans="1:11" s="1" customFormat="1" ht="12.75">
      <c r="A490" s="46" t="s">
        <v>630</v>
      </c>
      <c r="B490" s="114" t="s">
        <v>631</v>
      </c>
      <c r="C490" s="117"/>
      <c r="D490" s="178">
        <f>D491+D493</f>
        <v>64.7</v>
      </c>
      <c r="E490" s="316"/>
      <c r="F490" s="316"/>
      <c r="G490" s="316"/>
      <c r="H490" s="178">
        <f>H491+H493</f>
        <v>64.7</v>
      </c>
      <c r="I490" s="178">
        <f>I491+I493</f>
        <v>0</v>
      </c>
      <c r="J490" s="351">
        <f t="shared" si="13"/>
        <v>0</v>
      </c>
      <c r="K490" s="316"/>
    </row>
    <row r="491" spans="1:11" s="1" customFormat="1" ht="38.25">
      <c r="A491" s="60" t="s">
        <v>116</v>
      </c>
      <c r="B491" s="114" t="s">
        <v>631</v>
      </c>
      <c r="C491" s="117" t="s">
        <v>198</v>
      </c>
      <c r="D491" s="178">
        <f>D492</f>
        <v>13.2</v>
      </c>
      <c r="E491" s="316"/>
      <c r="F491" s="316"/>
      <c r="G491" s="316"/>
      <c r="H491" s="178">
        <f>H492</f>
        <v>13.2</v>
      </c>
      <c r="I491" s="178">
        <f>I492</f>
        <v>0</v>
      </c>
      <c r="J491" s="351">
        <f t="shared" si="13"/>
        <v>0</v>
      </c>
      <c r="K491" s="316"/>
    </row>
    <row r="492" spans="1:11" s="1" customFormat="1" ht="12.75">
      <c r="A492" s="63" t="s">
        <v>193</v>
      </c>
      <c r="B492" s="114" t="s">
        <v>631</v>
      </c>
      <c r="C492" s="117" t="s">
        <v>194</v>
      </c>
      <c r="D492" s="178">
        <v>13.2</v>
      </c>
      <c r="E492" s="316"/>
      <c r="F492" s="316"/>
      <c r="G492" s="316"/>
      <c r="H492" s="178">
        <v>13.2</v>
      </c>
      <c r="I492" s="178">
        <f>D492-H492</f>
        <v>0</v>
      </c>
      <c r="J492" s="351">
        <f t="shared" si="13"/>
        <v>0</v>
      </c>
      <c r="K492" s="316"/>
    </row>
    <row r="493" spans="1:11" s="1" customFormat="1" ht="12.75">
      <c r="A493" s="60" t="s">
        <v>226</v>
      </c>
      <c r="B493" s="114" t="s">
        <v>631</v>
      </c>
      <c r="C493" s="117" t="s">
        <v>188</v>
      </c>
      <c r="D493" s="178">
        <f>D494</f>
        <v>51.5</v>
      </c>
      <c r="E493" s="316"/>
      <c r="F493" s="316"/>
      <c r="G493" s="316"/>
      <c r="H493" s="178">
        <f>H494</f>
        <v>51.5</v>
      </c>
      <c r="I493" s="178">
        <f>I494</f>
        <v>0</v>
      </c>
      <c r="J493" s="351">
        <f t="shared" si="13"/>
        <v>0</v>
      </c>
      <c r="K493" s="316"/>
    </row>
    <row r="494" spans="1:11" s="1" customFormat="1" ht="12.75">
      <c r="A494" s="60" t="s">
        <v>189</v>
      </c>
      <c r="B494" s="114" t="s">
        <v>631</v>
      </c>
      <c r="C494" s="117" t="s">
        <v>187</v>
      </c>
      <c r="D494" s="178">
        <v>51.5</v>
      </c>
      <c r="E494" s="316"/>
      <c r="F494" s="316"/>
      <c r="G494" s="316"/>
      <c r="H494" s="178">
        <v>51.5</v>
      </c>
      <c r="I494" s="178">
        <f>D494-H494</f>
        <v>0</v>
      </c>
      <c r="J494" s="351">
        <f t="shared" si="13"/>
        <v>0</v>
      </c>
      <c r="K494" s="316"/>
    </row>
    <row r="495" spans="1:11" s="1" customFormat="1" ht="12.75">
      <c r="A495" s="311" t="s">
        <v>315</v>
      </c>
      <c r="B495" s="117" t="s">
        <v>273</v>
      </c>
      <c r="C495" s="117"/>
      <c r="D495" s="178">
        <f>SUM(D496)</f>
        <v>2453.264</v>
      </c>
      <c r="E495" s="316"/>
      <c r="F495" s="316"/>
      <c r="G495" s="316"/>
      <c r="H495" s="178">
        <f>SUM(H496)</f>
        <v>2453.3</v>
      </c>
      <c r="I495" s="178">
        <f>SUM(I496)</f>
        <v>-0.03600000000005821</v>
      </c>
      <c r="J495" s="351">
        <f t="shared" si="13"/>
        <v>-0.03600000000005821</v>
      </c>
      <c r="K495" s="316"/>
    </row>
    <row r="496" spans="1:11" s="1" customFormat="1" ht="12.75">
      <c r="A496" s="60" t="s">
        <v>226</v>
      </c>
      <c r="B496" s="117" t="s">
        <v>273</v>
      </c>
      <c r="C496" s="117" t="s">
        <v>188</v>
      </c>
      <c r="D496" s="178">
        <f>D497</f>
        <v>2453.264</v>
      </c>
      <c r="E496" s="316"/>
      <c r="F496" s="316"/>
      <c r="G496" s="316"/>
      <c r="H496" s="178">
        <f>H497</f>
        <v>2453.3</v>
      </c>
      <c r="I496" s="178">
        <f>I497</f>
        <v>-0.03600000000005821</v>
      </c>
      <c r="J496" s="351">
        <f t="shared" si="13"/>
        <v>-0.03600000000005821</v>
      </c>
      <c r="K496" s="316"/>
    </row>
    <row r="497" spans="1:11" s="1" customFormat="1" ht="12.75">
      <c r="A497" s="60" t="s">
        <v>189</v>
      </c>
      <c r="B497" s="117" t="s">
        <v>273</v>
      </c>
      <c r="C497" s="117" t="s">
        <v>187</v>
      </c>
      <c r="D497" s="178">
        <v>2453.264</v>
      </c>
      <c r="E497" s="316"/>
      <c r="F497" s="316"/>
      <c r="G497" s="316"/>
      <c r="H497" s="178">
        <v>2453.3</v>
      </c>
      <c r="I497" s="178">
        <f>D497-H497</f>
        <v>-0.03600000000005821</v>
      </c>
      <c r="J497" s="351">
        <f t="shared" si="13"/>
        <v>-0.03600000000005821</v>
      </c>
      <c r="K497" s="316"/>
    </row>
    <row r="498" spans="1:11" s="1" customFormat="1" ht="25.5">
      <c r="A498" s="53" t="s">
        <v>531</v>
      </c>
      <c r="B498" s="116" t="s">
        <v>66</v>
      </c>
      <c r="C498" s="116"/>
      <c r="D498" s="184">
        <f>D499+D509+D506</f>
        <v>1313</v>
      </c>
      <c r="E498" s="316"/>
      <c r="F498" s="316"/>
      <c r="G498" s="316"/>
      <c r="H498" s="184">
        <f>H499+H509+H506</f>
        <v>1313</v>
      </c>
      <c r="I498" s="184">
        <f>I499+I509+I506</f>
        <v>0</v>
      </c>
      <c r="J498" s="351">
        <f t="shared" si="13"/>
        <v>0</v>
      </c>
      <c r="K498" s="316"/>
    </row>
    <row r="499" spans="1:11" s="1" customFormat="1" ht="12.75">
      <c r="A499" s="46" t="s">
        <v>95</v>
      </c>
      <c r="B499" s="117" t="s">
        <v>275</v>
      </c>
      <c r="C499" s="117"/>
      <c r="D499" s="178">
        <f>D500+D504+D502</f>
        <v>80</v>
      </c>
      <c r="E499" s="316"/>
      <c r="F499" s="316"/>
      <c r="G499" s="316"/>
      <c r="H499" s="178">
        <f>H500+H504+H502</f>
        <v>80</v>
      </c>
      <c r="I499" s="178">
        <f>I500+I504+I502</f>
        <v>0</v>
      </c>
      <c r="J499" s="351">
        <f t="shared" si="13"/>
        <v>0</v>
      </c>
      <c r="K499" s="316"/>
    </row>
    <row r="500" spans="1:11" s="1" customFormat="1" ht="38.25">
      <c r="A500" s="60" t="s">
        <v>116</v>
      </c>
      <c r="B500" s="117" t="s">
        <v>275</v>
      </c>
      <c r="C500" s="117" t="s">
        <v>198</v>
      </c>
      <c r="D500" s="178">
        <f>D501</f>
        <v>40</v>
      </c>
      <c r="E500" s="316"/>
      <c r="F500" s="316"/>
      <c r="G500" s="316"/>
      <c r="H500" s="178">
        <f>H501</f>
        <v>40</v>
      </c>
      <c r="I500" s="178">
        <f>I501</f>
        <v>0</v>
      </c>
      <c r="J500" s="351">
        <f t="shared" si="13"/>
        <v>0</v>
      </c>
      <c r="K500" s="316"/>
    </row>
    <row r="501" spans="1:11" s="1" customFormat="1" ht="12.75">
      <c r="A501" s="63" t="s">
        <v>193</v>
      </c>
      <c r="B501" s="117" t="s">
        <v>275</v>
      </c>
      <c r="C501" s="117" t="s">
        <v>194</v>
      </c>
      <c r="D501" s="178">
        <v>40</v>
      </c>
      <c r="E501" s="316"/>
      <c r="F501" s="316"/>
      <c r="G501" s="316"/>
      <c r="H501" s="178">
        <v>40</v>
      </c>
      <c r="I501" s="178">
        <f>D501-H501</f>
        <v>0</v>
      </c>
      <c r="J501" s="351">
        <f t="shared" si="13"/>
        <v>0</v>
      </c>
      <c r="K501" s="316"/>
    </row>
    <row r="502" spans="1:11" s="1" customFormat="1" ht="12.75">
      <c r="A502" s="60" t="s">
        <v>226</v>
      </c>
      <c r="B502" s="117" t="s">
        <v>275</v>
      </c>
      <c r="C502" s="117" t="s">
        <v>188</v>
      </c>
      <c r="D502" s="178">
        <f>D503</f>
        <v>20</v>
      </c>
      <c r="E502" s="316"/>
      <c r="F502" s="316"/>
      <c r="G502" s="316"/>
      <c r="H502" s="178">
        <f>H503</f>
        <v>20</v>
      </c>
      <c r="I502" s="178">
        <f>I503</f>
        <v>0</v>
      </c>
      <c r="J502" s="351">
        <f t="shared" si="13"/>
        <v>0</v>
      </c>
      <c r="K502" s="316"/>
    </row>
    <row r="503" spans="1:11" s="1" customFormat="1" ht="12.75">
      <c r="A503" s="60" t="s">
        <v>189</v>
      </c>
      <c r="B503" s="117" t="s">
        <v>275</v>
      </c>
      <c r="C503" s="117" t="s">
        <v>187</v>
      </c>
      <c r="D503" s="178">
        <v>20</v>
      </c>
      <c r="E503" s="316"/>
      <c r="F503" s="316"/>
      <c r="G503" s="316"/>
      <c r="H503" s="178">
        <v>20</v>
      </c>
      <c r="I503" s="178">
        <f>D503-H503</f>
        <v>0</v>
      </c>
      <c r="J503" s="351">
        <f t="shared" si="13"/>
        <v>0</v>
      </c>
      <c r="K503" s="316"/>
    </row>
    <row r="504" spans="1:11" s="1" customFormat="1" ht="25.5">
      <c r="A504" s="154" t="s">
        <v>263</v>
      </c>
      <c r="B504" s="117" t="s">
        <v>275</v>
      </c>
      <c r="C504" s="117" t="s">
        <v>178</v>
      </c>
      <c r="D504" s="178">
        <f>D505</f>
        <v>20</v>
      </c>
      <c r="E504" s="316"/>
      <c r="F504" s="316"/>
      <c r="G504" s="316"/>
      <c r="H504" s="178">
        <f>H505</f>
        <v>20</v>
      </c>
      <c r="I504" s="178">
        <f>I505</f>
        <v>0</v>
      </c>
      <c r="J504" s="351">
        <f t="shared" si="13"/>
        <v>0</v>
      </c>
      <c r="K504" s="316"/>
    </row>
    <row r="505" spans="1:11" s="1" customFormat="1" ht="25.5">
      <c r="A505" s="50" t="s">
        <v>388</v>
      </c>
      <c r="B505" s="117" t="s">
        <v>275</v>
      </c>
      <c r="C505" s="117" t="s">
        <v>203</v>
      </c>
      <c r="D505" s="178">
        <v>20</v>
      </c>
      <c r="E505" s="316"/>
      <c r="F505" s="316"/>
      <c r="G505" s="316"/>
      <c r="H505" s="178">
        <v>20</v>
      </c>
      <c r="I505" s="178">
        <f>D505-H505</f>
        <v>0</v>
      </c>
      <c r="J505" s="351">
        <f t="shared" si="13"/>
        <v>0</v>
      </c>
      <c r="K505" s="316"/>
    </row>
    <row r="506" spans="1:11" s="1" customFormat="1" ht="21" customHeight="1">
      <c r="A506" s="74" t="s">
        <v>405</v>
      </c>
      <c r="B506" s="117" t="s">
        <v>404</v>
      </c>
      <c r="C506" s="117"/>
      <c r="D506" s="178">
        <f>D507</f>
        <v>1100</v>
      </c>
      <c r="E506" s="316"/>
      <c r="F506" s="316"/>
      <c r="G506" s="316"/>
      <c r="H506" s="178">
        <f>H507</f>
        <v>1100</v>
      </c>
      <c r="I506" s="178">
        <f>I507</f>
        <v>0</v>
      </c>
      <c r="J506" s="351">
        <f t="shared" si="13"/>
        <v>0</v>
      </c>
      <c r="K506" s="316"/>
    </row>
    <row r="507" spans="1:11" s="1" customFormat="1" ht="12.75">
      <c r="A507" s="60" t="s">
        <v>226</v>
      </c>
      <c r="B507" s="115" t="s">
        <v>404</v>
      </c>
      <c r="C507" s="117" t="s">
        <v>188</v>
      </c>
      <c r="D507" s="178">
        <f>D508</f>
        <v>1100</v>
      </c>
      <c r="E507" s="316"/>
      <c r="F507" s="316"/>
      <c r="G507" s="316"/>
      <c r="H507" s="178">
        <f>H508</f>
        <v>1100</v>
      </c>
      <c r="I507" s="178">
        <f>I508</f>
        <v>0</v>
      </c>
      <c r="J507" s="351">
        <f t="shared" si="13"/>
        <v>0</v>
      </c>
      <c r="K507" s="316"/>
    </row>
    <row r="508" spans="1:11" s="1" customFormat="1" ht="12.75">
      <c r="A508" s="60" t="s">
        <v>189</v>
      </c>
      <c r="B508" s="115" t="s">
        <v>404</v>
      </c>
      <c r="C508" s="117" t="s">
        <v>187</v>
      </c>
      <c r="D508" s="178">
        <f>300+800</f>
        <v>1100</v>
      </c>
      <c r="E508" s="316"/>
      <c r="F508" s="316"/>
      <c r="G508" s="316"/>
      <c r="H508" s="178">
        <f>300+800</f>
        <v>1100</v>
      </c>
      <c r="I508" s="178">
        <f>D508-H508</f>
        <v>0</v>
      </c>
      <c r="J508" s="351">
        <f t="shared" si="13"/>
        <v>0</v>
      </c>
      <c r="K508" s="316"/>
    </row>
    <row r="509" spans="1:11" s="1" customFormat="1" ht="25.5">
      <c r="A509" s="74" t="s">
        <v>316</v>
      </c>
      <c r="B509" s="115" t="s">
        <v>276</v>
      </c>
      <c r="C509" s="117"/>
      <c r="D509" s="178">
        <f>D510</f>
        <v>133</v>
      </c>
      <c r="E509" s="316"/>
      <c r="F509" s="316"/>
      <c r="G509" s="316"/>
      <c r="H509" s="178">
        <f>H510</f>
        <v>133</v>
      </c>
      <c r="I509" s="178">
        <f>I510</f>
        <v>0</v>
      </c>
      <c r="J509" s="351">
        <f t="shared" si="13"/>
        <v>0</v>
      </c>
      <c r="K509" s="316"/>
    </row>
    <row r="510" spans="1:11" s="1" customFormat="1" ht="25.5">
      <c r="A510" s="154" t="s">
        <v>263</v>
      </c>
      <c r="B510" s="115" t="s">
        <v>276</v>
      </c>
      <c r="C510" s="117" t="s">
        <v>178</v>
      </c>
      <c r="D510" s="178">
        <f>D511</f>
        <v>133</v>
      </c>
      <c r="E510" s="316"/>
      <c r="F510" s="316"/>
      <c r="G510" s="316"/>
      <c r="H510" s="178">
        <f>H511</f>
        <v>133</v>
      </c>
      <c r="I510" s="178">
        <f>I511</f>
        <v>0</v>
      </c>
      <c r="J510" s="351">
        <f t="shared" si="13"/>
        <v>0</v>
      </c>
      <c r="K510" s="316"/>
    </row>
    <row r="511" spans="1:11" s="1" customFormat="1" ht="25.5">
      <c r="A511" s="50" t="s">
        <v>388</v>
      </c>
      <c r="B511" s="115" t="s">
        <v>276</v>
      </c>
      <c r="C511" s="117" t="s">
        <v>203</v>
      </c>
      <c r="D511" s="178">
        <v>133</v>
      </c>
      <c r="E511" s="316"/>
      <c r="F511" s="316"/>
      <c r="G511" s="316"/>
      <c r="H511" s="178">
        <v>133</v>
      </c>
      <c r="I511" s="178">
        <f>D511-H511</f>
        <v>0</v>
      </c>
      <c r="J511" s="351">
        <f t="shared" si="13"/>
        <v>0</v>
      </c>
      <c r="K511" s="316"/>
    </row>
    <row r="512" spans="1:11" s="1" customFormat="1" ht="12.75">
      <c r="A512" s="53" t="s">
        <v>406</v>
      </c>
      <c r="B512" s="116" t="s">
        <v>407</v>
      </c>
      <c r="C512" s="116"/>
      <c r="D512" s="184">
        <f>D513</f>
        <v>80</v>
      </c>
      <c r="E512" s="316"/>
      <c r="F512" s="316"/>
      <c r="G512" s="316"/>
      <c r="H512" s="184">
        <f>H513</f>
        <v>80</v>
      </c>
      <c r="I512" s="184">
        <f>I513</f>
        <v>0</v>
      </c>
      <c r="J512" s="351">
        <f t="shared" si="13"/>
        <v>0</v>
      </c>
      <c r="K512" s="316"/>
    </row>
    <row r="513" spans="1:11" s="1" customFormat="1" ht="12.75">
      <c r="A513" s="46" t="s">
        <v>95</v>
      </c>
      <c r="B513" s="117" t="s">
        <v>408</v>
      </c>
      <c r="C513" s="117"/>
      <c r="D513" s="178">
        <f>D514+D516</f>
        <v>80</v>
      </c>
      <c r="E513" s="316"/>
      <c r="F513" s="316"/>
      <c r="G513" s="316"/>
      <c r="H513" s="178">
        <f>H514+H516</f>
        <v>80</v>
      </c>
      <c r="I513" s="178">
        <f>I514+I516</f>
        <v>0</v>
      </c>
      <c r="J513" s="351">
        <f t="shared" si="13"/>
        <v>0</v>
      </c>
      <c r="K513" s="316"/>
    </row>
    <row r="514" spans="1:11" s="1" customFormat="1" ht="38.25">
      <c r="A514" s="60" t="s">
        <v>116</v>
      </c>
      <c r="B514" s="117" t="s">
        <v>408</v>
      </c>
      <c r="C514" s="117" t="s">
        <v>198</v>
      </c>
      <c r="D514" s="178">
        <f>D515</f>
        <v>60</v>
      </c>
      <c r="E514" s="316"/>
      <c r="F514" s="316"/>
      <c r="G514" s="316"/>
      <c r="H514" s="178">
        <f>H515</f>
        <v>60</v>
      </c>
      <c r="I514" s="178">
        <f>I515</f>
        <v>0</v>
      </c>
      <c r="J514" s="351">
        <f t="shared" si="13"/>
        <v>0</v>
      </c>
      <c r="K514" s="316"/>
    </row>
    <row r="515" spans="1:11" s="1" customFormat="1" ht="12.75">
      <c r="A515" s="63" t="s">
        <v>193</v>
      </c>
      <c r="B515" s="117" t="s">
        <v>408</v>
      </c>
      <c r="C515" s="117" t="s">
        <v>194</v>
      </c>
      <c r="D515" s="178">
        <v>60</v>
      </c>
      <c r="E515" s="316"/>
      <c r="F515" s="316"/>
      <c r="G515" s="316"/>
      <c r="H515" s="178">
        <v>60</v>
      </c>
      <c r="I515" s="178">
        <f>D515-H515</f>
        <v>0</v>
      </c>
      <c r="J515" s="351">
        <f t="shared" si="13"/>
        <v>0</v>
      </c>
      <c r="K515" s="316"/>
    </row>
    <row r="516" spans="1:11" s="1" customFormat="1" ht="12.75">
      <c r="A516" s="60" t="s">
        <v>226</v>
      </c>
      <c r="B516" s="117" t="s">
        <v>408</v>
      </c>
      <c r="C516" s="117" t="s">
        <v>188</v>
      </c>
      <c r="D516" s="178">
        <f>D517</f>
        <v>20</v>
      </c>
      <c r="E516" s="316"/>
      <c r="F516" s="316"/>
      <c r="G516" s="316"/>
      <c r="H516" s="178">
        <f>H517</f>
        <v>20</v>
      </c>
      <c r="I516" s="178">
        <f>I517</f>
        <v>0</v>
      </c>
      <c r="J516" s="351">
        <f t="shared" si="13"/>
        <v>0</v>
      </c>
      <c r="K516" s="316"/>
    </row>
    <row r="517" spans="1:11" s="1" customFormat="1" ht="12.75">
      <c r="A517" s="60" t="s">
        <v>189</v>
      </c>
      <c r="B517" s="117" t="s">
        <v>408</v>
      </c>
      <c r="C517" s="117" t="s">
        <v>187</v>
      </c>
      <c r="D517" s="178">
        <v>20</v>
      </c>
      <c r="E517" s="316"/>
      <c r="F517" s="316"/>
      <c r="G517" s="316"/>
      <c r="H517" s="178">
        <v>20</v>
      </c>
      <c r="I517" s="178">
        <f>D517-H517</f>
        <v>0</v>
      </c>
      <c r="J517" s="351">
        <f t="shared" si="13"/>
        <v>0</v>
      </c>
      <c r="K517" s="316"/>
    </row>
    <row r="518" spans="1:11" s="1" customFormat="1" ht="12.75">
      <c r="A518" s="109" t="s">
        <v>541</v>
      </c>
      <c r="B518" s="127" t="s">
        <v>18</v>
      </c>
      <c r="C518" s="127"/>
      <c r="D518" s="177">
        <f>D519+D522</f>
        <v>3850</v>
      </c>
      <c r="E518" s="316"/>
      <c r="F518" s="316"/>
      <c r="G518" s="316"/>
      <c r="H518" s="177">
        <f>H519+H522</f>
        <v>3850</v>
      </c>
      <c r="I518" s="177">
        <f>I519+I522</f>
        <v>0</v>
      </c>
      <c r="J518" s="351">
        <f aca="true" t="shared" si="14" ref="J518:J581">D518-H518</f>
        <v>0</v>
      </c>
      <c r="K518" s="316"/>
    </row>
    <row r="519" spans="1:11" s="1" customFormat="1" ht="12.75">
      <c r="A519" s="71" t="s">
        <v>243</v>
      </c>
      <c r="B519" s="117" t="s">
        <v>633</v>
      </c>
      <c r="C519" s="117"/>
      <c r="D519" s="178">
        <f>D520</f>
        <v>150</v>
      </c>
      <c r="E519" s="316"/>
      <c r="F519" s="316"/>
      <c r="G519" s="316"/>
      <c r="H519" s="178">
        <f>H520</f>
        <v>150</v>
      </c>
      <c r="I519" s="178">
        <f>I520</f>
        <v>0</v>
      </c>
      <c r="J519" s="351">
        <f t="shared" si="14"/>
        <v>0</v>
      </c>
      <c r="K519" s="316"/>
    </row>
    <row r="520" spans="1:11" s="1" customFormat="1" ht="12.75">
      <c r="A520" s="60" t="s">
        <v>226</v>
      </c>
      <c r="B520" s="117" t="s">
        <v>633</v>
      </c>
      <c r="C520" s="117" t="s">
        <v>188</v>
      </c>
      <c r="D520" s="178">
        <f>D521</f>
        <v>150</v>
      </c>
      <c r="E520" s="316"/>
      <c r="F520" s="316"/>
      <c r="G520" s="316"/>
      <c r="H520" s="178">
        <f>H521</f>
        <v>150</v>
      </c>
      <c r="I520" s="178">
        <f>I521</f>
        <v>0</v>
      </c>
      <c r="J520" s="351">
        <f t="shared" si="14"/>
        <v>0</v>
      </c>
      <c r="K520" s="316"/>
    </row>
    <row r="521" spans="1:11" s="1" customFormat="1" ht="12.75">
      <c r="A521" s="60" t="s">
        <v>189</v>
      </c>
      <c r="B521" s="117" t="s">
        <v>633</v>
      </c>
      <c r="C521" s="117" t="s">
        <v>187</v>
      </c>
      <c r="D521" s="178">
        <v>150</v>
      </c>
      <c r="E521" s="316"/>
      <c r="F521" s="316"/>
      <c r="G521" s="316"/>
      <c r="H521" s="178">
        <v>150</v>
      </c>
      <c r="I521" s="178">
        <f>D521-H521</f>
        <v>0</v>
      </c>
      <c r="J521" s="351">
        <f t="shared" si="14"/>
        <v>0</v>
      </c>
      <c r="K521" s="316"/>
    </row>
    <row r="522" spans="1:11" s="1" customFormat="1" ht="25.5">
      <c r="A522" s="71" t="s">
        <v>436</v>
      </c>
      <c r="B522" s="117" t="s">
        <v>435</v>
      </c>
      <c r="C522" s="117"/>
      <c r="D522" s="178">
        <f>D523</f>
        <v>3700</v>
      </c>
      <c r="E522" s="316"/>
      <c r="F522" s="316"/>
      <c r="G522" s="316"/>
      <c r="H522" s="178">
        <f>H523</f>
        <v>3700</v>
      </c>
      <c r="I522" s="178">
        <f>I523</f>
        <v>0</v>
      </c>
      <c r="J522" s="351">
        <f t="shared" si="14"/>
        <v>0</v>
      </c>
      <c r="K522" s="316"/>
    </row>
    <row r="523" spans="1:11" s="1" customFormat="1" ht="12.75">
      <c r="A523" s="60" t="s">
        <v>226</v>
      </c>
      <c r="B523" s="117" t="s">
        <v>435</v>
      </c>
      <c r="C523" s="117" t="s">
        <v>188</v>
      </c>
      <c r="D523" s="178">
        <f>D524</f>
        <v>3700</v>
      </c>
      <c r="E523" s="316"/>
      <c r="F523" s="316"/>
      <c r="G523" s="316"/>
      <c r="H523" s="178">
        <f>H524</f>
        <v>3700</v>
      </c>
      <c r="I523" s="178">
        <f>I524</f>
        <v>0</v>
      </c>
      <c r="J523" s="351">
        <f t="shared" si="14"/>
        <v>0</v>
      </c>
      <c r="K523" s="316"/>
    </row>
    <row r="524" spans="1:11" s="1" customFormat="1" ht="12.75">
      <c r="A524" s="60" t="s">
        <v>189</v>
      </c>
      <c r="B524" s="117" t="s">
        <v>435</v>
      </c>
      <c r="C524" s="117" t="s">
        <v>187</v>
      </c>
      <c r="D524" s="178">
        <f>1850+1850</f>
        <v>3700</v>
      </c>
      <c r="E524" s="316"/>
      <c r="F524" s="316"/>
      <c r="G524" s="316"/>
      <c r="H524" s="178">
        <f>1850+1850</f>
        <v>3700</v>
      </c>
      <c r="I524" s="178">
        <f>D524-H524</f>
        <v>0</v>
      </c>
      <c r="J524" s="351">
        <f t="shared" si="14"/>
        <v>0</v>
      </c>
      <c r="K524" s="316"/>
    </row>
    <row r="525" spans="1:11" s="1" customFormat="1" ht="25.5">
      <c r="A525" s="109" t="s">
        <v>494</v>
      </c>
      <c r="B525" s="127" t="s">
        <v>354</v>
      </c>
      <c r="C525" s="127"/>
      <c r="D525" s="177">
        <f>D526</f>
        <v>92</v>
      </c>
      <c r="E525" s="316"/>
      <c r="F525" s="316"/>
      <c r="G525" s="316"/>
      <c r="H525" s="177">
        <f aca="true" t="shared" si="15" ref="H525:I527">H526</f>
        <v>92</v>
      </c>
      <c r="I525" s="177">
        <f t="shared" si="15"/>
        <v>0</v>
      </c>
      <c r="J525" s="351">
        <f t="shared" si="14"/>
        <v>0</v>
      </c>
      <c r="K525" s="316"/>
    </row>
    <row r="526" spans="1:11" s="1" customFormat="1" ht="25.5">
      <c r="A526" s="46" t="s">
        <v>94</v>
      </c>
      <c r="B526" s="117" t="s">
        <v>355</v>
      </c>
      <c r="C526" s="117"/>
      <c r="D526" s="178">
        <f>D527</f>
        <v>92</v>
      </c>
      <c r="E526" s="316"/>
      <c r="F526" s="316"/>
      <c r="G526" s="316"/>
      <c r="H526" s="178">
        <f t="shared" si="15"/>
        <v>92</v>
      </c>
      <c r="I526" s="178">
        <f t="shared" si="15"/>
        <v>0</v>
      </c>
      <c r="J526" s="351">
        <f t="shared" si="14"/>
        <v>0</v>
      </c>
      <c r="K526" s="316"/>
    </row>
    <row r="527" spans="1:11" s="1" customFormat="1" ht="12.75">
      <c r="A527" s="60" t="s">
        <v>226</v>
      </c>
      <c r="B527" s="117" t="s">
        <v>355</v>
      </c>
      <c r="C527" s="117" t="s">
        <v>188</v>
      </c>
      <c r="D527" s="178">
        <f>D528</f>
        <v>92</v>
      </c>
      <c r="E527" s="316"/>
      <c r="F527" s="316"/>
      <c r="G527" s="316"/>
      <c r="H527" s="178">
        <f t="shared" si="15"/>
        <v>92</v>
      </c>
      <c r="I527" s="178">
        <f t="shared" si="15"/>
        <v>0</v>
      </c>
      <c r="J527" s="351">
        <f t="shared" si="14"/>
        <v>0</v>
      </c>
      <c r="K527" s="316"/>
    </row>
    <row r="528" spans="1:11" s="1" customFormat="1" ht="12.75">
      <c r="A528" s="60" t="s">
        <v>189</v>
      </c>
      <c r="B528" s="117" t="s">
        <v>355</v>
      </c>
      <c r="C528" s="117" t="s">
        <v>187</v>
      </c>
      <c r="D528" s="178">
        <v>92</v>
      </c>
      <c r="E528" s="316"/>
      <c r="F528" s="316"/>
      <c r="G528" s="316"/>
      <c r="H528" s="178">
        <v>92</v>
      </c>
      <c r="I528" s="178">
        <f>D528-H528</f>
        <v>0</v>
      </c>
      <c r="J528" s="351">
        <f t="shared" si="14"/>
        <v>0</v>
      </c>
      <c r="K528" s="316"/>
    </row>
    <row r="529" spans="1:11" s="1" customFormat="1" ht="25.5">
      <c r="A529" s="129" t="s">
        <v>439</v>
      </c>
      <c r="B529" s="127" t="s">
        <v>19</v>
      </c>
      <c r="C529" s="132"/>
      <c r="D529" s="193">
        <f>D530+D535+D541+D544+D550+D553+D556+D547</f>
        <v>29038.466999999997</v>
      </c>
      <c r="E529" s="316"/>
      <c r="F529" s="316"/>
      <c r="G529" s="316"/>
      <c r="H529" s="193">
        <f>H530+H535+H541+H544+H550+H553+H556+H547</f>
        <v>29038.5</v>
      </c>
      <c r="I529" s="193">
        <f>I530+I535+I541+I544+I550+I553+I556+I547</f>
        <v>-0.033000000000452445</v>
      </c>
      <c r="J529" s="351">
        <f t="shared" si="14"/>
        <v>-0.033000000003085006</v>
      </c>
      <c r="K529" s="316"/>
    </row>
    <row r="530" spans="1:11" s="1" customFormat="1" ht="12.75">
      <c r="A530" s="46" t="s">
        <v>115</v>
      </c>
      <c r="B530" s="117" t="s">
        <v>70</v>
      </c>
      <c r="C530" s="166"/>
      <c r="D530" s="182">
        <f>D531+D533</f>
        <v>14603.4</v>
      </c>
      <c r="E530" s="316"/>
      <c r="F530" s="316"/>
      <c r="G530" s="316"/>
      <c r="H530" s="182">
        <f>H531+H533</f>
        <v>14603.4</v>
      </c>
      <c r="I530" s="182">
        <f>I531+I533</f>
        <v>0</v>
      </c>
      <c r="J530" s="351">
        <f t="shared" si="14"/>
        <v>0</v>
      </c>
      <c r="K530" s="316"/>
    </row>
    <row r="531" spans="1:11" s="1" customFormat="1" ht="38.25">
      <c r="A531" s="60" t="s">
        <v>116</v>
      </c>
      <c r="B531" s="117" t="s">
        <v>70</v>
      </c>
      <c r="C531" s="117" t="s">
        <v>198</v>
      </c>
      <c r="D531" s="183">
        <f>D532</f>
        <v>13901.1</v>
      </c>
      <c r="E531" s="316"/>
      <c r="F531" s="316"/>
      <c r="G531" s="316"/>
      <c r="H531" s="183">
        <f>H532</f>
        <v>13901.1</v>
      </c>
      <c r="I531" s="183">
        <f>I532</f>
        <v>0</v>
      </c>
      <c r="J531" s="351">
        <f t="shared" si="14"/>
        <v>0</v>
      </c>
      <c r="K531" s="316"/>
    </row>
    <row r="532" spans="1:11" s="1" customFormat="1" ht="12.75">
      <c r="A532" s="63" t="s">
        <v>193</v>
      </c>
      <c r="B532" s="117" t="s">
        <v>70</v>
      </c>
      <c r="C532" s="117" t="s">
        <v>194</v>
      </c>
      <c r="D532" s="186">
        <f>12227+1674.1</f>
        <v>13901.1</v>
      </c>
      <c r="E532" s="316"/>
      <c r="F532" s="316"/>
      <c r="G532" s="316"/>
      <c r="H532" s="186">
        <f>12227+1674.1</f>
        <v>13901.1</v>
      </c>
      <c r="I532" s="178">
        <f>D532-H532</f>
        <v>0</v>
      </c>
      <c r="J532" s="351">
        <f t="shared" si="14"/>
        <v>0</v>
      </c>
      <c r="K532" s="316"/>
    </row>
    <row r="533" spans="1:11" s="1" customFormat="1" ht="12.75">
      <c r="A533" s="60" t="s">
        <v>226</v>
      </c>
      <c r="B533" s="117" t="s">
        <v>70</v>
      </c>
      <c r="C533" s="117" t="s">
        <v>188</v>
      </c>
      <c r="D533" s="178">
        <f>D534</f>
        <v>702.3</v>
      </c>
      <c r="E533" s="316"/>
      <c r="F533" s="316"/>
      <c r="G533" s="316"/>
      <c r="H533" s="178">
        <f>H534</f>
        <v>702.3</v>
      </c>
      <c r="I533" s="178">
        <f>I534</f>
        <v>0</v>
      </c>
      <c r="J533" s="351">
        <f t="shared" si="14"/>
        <v>0</v>
      </c>
      <c r="K533" s="316"/>
    </row>
    <row r="534" spans="1:11" s="1" customFormat="1" ht="12.75">
      <c r="A534" s="60" t="s">
        <v>189</v>
      </c>
      <c r="B534" s="117" t="s">
        <v>70</v>
      </c>
      <c r="C534" s="117" t="s">
        <v>187</v>
      </c>
      <c r="D534" s="178">
        <v>702.3</v>
      </c>
      <c r="E534" s="316"/>
      <c r="F534" s="316"/>
      <c r="G534" s="316"/>
      <c r="H534" s="178">
        <v>702.3</v>
      </c>
      <c r="I534" s="178">
        <f>D534-H534</f>
        <v>0</v>
      </c>
      <c r="J534" s="351">
        <f t="shared" si="14"/>
        <v>0</v>
      </c>
      <c r="K534" s="316"/>
    </row>
    <row r="535" spans="1:11" s="1" customFormat="1" ht="25.5">
      <c r="A535" s="46" t="s">
        <v>92</v>
      </c>
      <c r="B535" s="117" t="s">
        <v>219</v>
      </c>
      <c r="C535" s="166"/>
      <c r="D535" s="183">
        <f>D536+D538</f>
        <v>2841.196</v>
      </c>
      <c r="E535" s="316"/>
      <c r="F535" s="316"/>
      <c r="G535" s="316"/>
      <c r="H535" s="183">
        <f>H536+H538</f>
        <v>2841.2</v>
      </c>
      <c r="I535" s="183">
        <f>I536+I538</f>
        <v>-0.004000000000001336</v>
      </c>
      <c r="J535" s="351">
        <f t="shared" si="14"/>
        <v>-0.0039999999999054126</v>
      </c>
      <c r="K535" s="316"/>
    </row>
    <row r="536" spans="1:11" s="1" customFormat="1" ht="12.75">
      <c r="A536" s="60" t="s">
        <v>226</v>
      </c>
      <c r="B536" s="117" t="s">
        <v>219</v>
      </c>
      <c r="C536" s="117" t="s">
        <v>188</v>
      </c>
      <c r="D536" s="178">
        <f>D537</f>
        <v>2819.2</v>
      </c>
      <c r="E536" s="316"/>
      <c r="F536" s="316"/>
      <c r="G536" s="316"/>
      <c r="H536" s="178">
        <f>H537</f>
        <v>2819.2</v>
      </c>
      <c r="I536" s="178">
        <f>I537</f>
        <v>0</v>
      </c>
      <c r="J536" s="351">
        <f t="shared" si="14"/>
        <v>0</v>
      </c>
      <c r="K536" s="316"/>
    </row>
    <row r="537" spans="1:11" s="1" customFormat="1" ht="12.75">
      <c r="A537" s="60" t="s">
        <v>189</v>
      </c>
      <c r="B537" s="117" t="s">
        <v>219</v>
      </c>
      <c r="C537" s="117" t="s">
        <v>187</v>
      </c>
      <c r="D537" s="178">
        <f>2821.2-2</f>
        <v>2819.2</v>
      </c>
      <c r="E537" s="316"/>
      <c r="F537" s="316"/>
      <c r="G537" s="316"/>
      <c r="H537" s="178">
        <f>2821.2-2</f>
        <v>2819.2</v>
      </c>
      <c r="I537" s="178">
        <f>D537-H537</f>
        <v>0</v>
      </c>
      <c r="J537" s="351">
        <f t="shared" si="14"/>
        <v>0</v>
      </c>
      <c r="K537" s="316"/>
    </row>
    <row r="538" spans="1:11" s="1" customFormat="1" ht="12.75">
      <c r="A538" s="60" t="s">
        <v>90</v>
      </c>
      <c r="B538" s="117" t="s">
        <v>219</v>
      </c>
      <c r="C538" s="117" t="s">
        <v>87</v>
      </c>
      <c r="D538" s="178">
        <f aca="true" t="shared" si="16" ref="D538:I538">D540+D539</f>
        <v>21.996</v>
      </c>
      <c r="E538" s="178">
        <f t="shared" si="16"/>
        <v>0</v>
      </c>
      <c r="F538" s="178">
        <f t="shared" si="16"/>
        <v>0</v>
      </c>
      <c r="G538" s="178">
        <f t="shared" si="16"/>
        <v>0</v>
      </c>
      <c r="H538" s="178">
        <f>H540+H539</f>
        <v>22</v>
      </c>
      <c r="I538" s="178">
        <f t="shared" si="16"/>
        <v>-0.004000000000001336</v>
      </c>
      <c r="J538" s="351">
        <f t="shared" si="14"/>
        <v>-0.004000000000001336</v>
      </c>
      <c r="K538" s="316"/>
    </row>
    <row r="539" spans="1:11" s="1" customFormat="1" ht="12.75">
      <c r="A539" s="60" t="s">
        <v>288</v>
      </c>
      <c r="B539" s="117" t="s">
        <v>219</v>
      </c>
      <c r="C539" s="117" t="s">
        <v>598</v>
      </c>
      <c r="D539" s="178">
        <v>2</v>
      </c>
      <c r="E539" s="316"/>
      <c r="F539" s="316"/>
      <c r="G539" s="316"/>
      <c r="H539" s="178">
        <v>2</v>
      </c>
      <c r="I539" s="178">
        <f>D539-H539</f>
        <v>0</v>
      </c>
      <c r="J539" s="351">
        <f t="shared" si="14"/>
        <v>0</v>
      </c>
      <c r="K539" s="316"/>
    </row>
    <row r="540" spans="1:11" s="1" customFormat="1" ht="12.75">
      <c r="A540" s="60" t="s">
        <v>209</v>
      </c>
      <c r="B540" s="117" t="s">
        <v>219</v>
      </c>
      <c r="C540" s="117" t="s">
        <v>210</v>
      </c>
      <c r="D540" s="178">
        <v>19.996</v>
      </c>
      <c r="E540" s="316"/>
      <c r="F540" s="316"/>
      <c r="G540" s="316"/>
      <c r="H540" s="178">
        <v>20</v>
      </c>
      <c r="I540" s="178">
        <f>D540-H540</f>
        <v>-0.004000000000001336</v>
      </c>
      <c r="J540" s="351">
        <f t="shared" si="14"/>
        <v>-0.004000000000001336</v>
      </c>
      <c r="K540" s="316"/>
    </row>
    <row r="541" spans="1:11" s="1" customFormat="1" ht="12.75">
      <c r="A541" s="46" t="s">
        <v>109</v>
      </c>
      <c r="B541" s="165" t="s">
        <v>20</v>
      </c>
      <c r="C541" s="166"/>
      <c r="D541" s="183">
        <f>D542</f>
        <v>526</v>
      </c>
      <c r="E541" s="316"/>
      <c r="F541" s="316"/>
      <c r="G541" s="316"/>
      <c r="H541" s="183">
        <f>H542</f>
        <v>526</v>
      </c>
      <c r="I541" s="183">
        <f>I542</f>
        <v>0</v>
      </c>
      <c r="J541" s="351">
        <f t="shared" si="14"/>
        <v>0</v>
      </c>
      <c r="K541" s="316"/>
    </row>
    <row r="542" spans="1:11" s="1" customFormat="1" ht="12.75">
      <c r="A542" s="60" t="s">
        <v>226</v>
      </c>
      <c r="B542" s="117" t="s">
        <v>20</v>
      </c>
      <c r="C542" s="117" t="s">
        <v>188</v>
      </c>
      <c r="D542" s="178">
        <f>D543</f>
        <v>526</v>
      </c>
      <c r="E542" s="316"/>
      <c r="F542" s="316"/>
      <c r="G542" s="316"/>
      <c r="H542" s="178">
        <f>H543</f>
        <v>526</v>
      </c>
      <c r="I542" s="178">
        <f>I543</f>
        <v>0</v>
      </c>
      <c r="J542" s="351">
        <f t="shared" si="14"/>
        <v>0</v>
      </c>
      <c r="K542" s="316"/>
    </row>
    <row r="543" spans="1:11" s="1" customFormat="1" ht="12.75">
      <c r="A543" s="60" t="s">
        <v>189</v>
      </c>
      <c r="B543" s="117" t="s">
        <v>20</v>
      </c>
      <c r="C543" s="117" t="s">
        <v>187</v>
      </c>
      <c r="D543" s="178">
        <v>526</v>
      </c>
      <c r="E543" s="316"/>
      <c r="F543" s="316"/>
      <c r="G543" s="316"/>
      <c r="H543" s="178">
        <v>526</v>
      </c>
      <c r="I543" s="178">
        <f>D543-H543</f>
        <v>0</v>
      </c>
      <c r="J543" s="351">
        <f t="shared" si="14"/>
        <v>0</v>
      </c>
      <c r="K543" s="316"/>
    </row>
    <row r="544" spans="1:11" s="1" customFormat="1" ht="12.75">
      <c r="A544" s="46" t="s">
        <v>110</v>
      </c>
      <c r="B544" s="115" t="s">
        <v>21</v>
      </c>
      <c r="C544" s="117"/>
      <c r="D544" s="178">
        <f>D545</f>
        <v>1264</v>
      </c>
      <c r="E544" s="316"/>
      <c r="F544" s="316"/>
      <c r="G544" s="316"/>
      <c r="H544" s="178">
        <f>H545</f>
        <v>1264</v>
      </c>
      <c r="I544" s="178">
        <f>I545</f>
        <v>0</v>
      </c>
      <c r="J544" s="351">
        <f t="shared" si="14"/>
        <v>0</v>
      </c>
      <c r="K544" s="316"/>
    </row>
    <row r="545" spans="1:11" s="1" customFormat="1" ht="12.75">
      <c r="A545" s="60" t="s">
        <v>226</v>
      </c>
      <c r="B545" s="115" t="s">
        <v>21</v>
      </c>
      <c r="C545" s="117" t="s">
        <v>188</v>
      </c>
      <c r="D545" s="178">
        <f>D546</f>
        <v>1264</v>
      </c>
      <c r="E545" s="316"/>
      <c r="F545" s="316"/>
      <c r="G545" s="316"/>
      <c r="H545" s="178">
        <f>H546</f>
        <v>1264</v>
      </c>
      <c r="I545" s="178">
        <f>I546</f>
        <v>0</v>
      </c>
      <c r="J545" s="351">
        <f t="shared" si="14"/>
        <v>0</v>
      </c>
      <c r="K545" s="316"/>
    </row>
    <row r="546" spans="1:11" s="1" customFormat="1" ht="12.75">
      <c r="A546" s="60" t="s">
        <v>189</v>
      </c>
      <c r="B546" s="115" t="s">
        <v>21</v>
      </c>
      <c r="C546" s="117" t="s">
        <v>187</v>
      </c>
      <c r="D546" s="178">
        <f>896+368</f>
        <v>1264</v>
      </c>
      <c r="E546" s="316"/>
      <c r="F546" s="316"/>
      <c r="G546" s="316"/>
      <c r="H546" s="178">
        <f>896+368</f>
        <v>1264</v>
      </c>
      <c r="I546" s="178">
        <f>D546-H546</f>
        <v>0</v>
      </c>
      <c r="J546" s="351">
        <f t="shared" si="14"/>
        <v>0</v>
      </c>
      <c r="K546" s="316"/>
    </row>
    <row r="547" spans="1:11" s="1" customFormat="1" ht="12.75">
      <c r="A547" s="50" t="s">
        <v>444</v>
      </c>
      <c r="B547" s="117" t="s">
        <v>510</v>
      </c>
      <c r="C547" s="117"/>
      <c r="D547" s="178">
        <f>D548</f>
        <v>100</v>
      </c>
      <c r="E547" s="316"/>
      <c r="F547" s="316"/>
      <c r="G547" s="316"/>
      <c r="H547" s="178">
        <f>H548</f>
        <v>100</v>
      </c>
      <c r="I547" s="178">
        <f>I548</f>
        <v>0</v>
      </c>
      <c r="J547" s="351">
        <f t="shared" si="14"/>
        <v>0</v>
      </c>
      <c r="K547" s="316"/>
    </row>
    <row r="548" spans="1:11" s="1" customFormat="1" ht="12.75">
      <c r="A548" s="60" t="s">
        <v>226</v>
      </c>
      <c r="B548" s="117" t="s">
        <v>510</v>
      </c>
      <c r="C548" s="117" t="s">
        <v>188</v>
      </c>
      <c r="D548" s="178">
        <f>D549</f>
        <v>100</v>
      </c>
      <c r="E548" s="316"/>
      <c r="F548" s="316"/>
      <c r="G548" s="316"/>
      <c r="H548" s="178">
        <f>H549</f>
        <v>100</v>
      </c>
      <c r="I548" s="178">
        <f>I549</f>
        <v>0</v>
      </c>
      <c r="J548" s="351">
        <f t="shared" si="14"/>
        <v>0</v>
      </c>
      <c r="K548" s="316"/>
    </row>
    <row r="549" spans="1:11" s="1" customFormat="1" ht="12.75">
      <c r="A549" s="60" t="s">
        <v>189</v>
      </c>
      <c r="B549" s="117" t="s">
        <v>510</v>
      </c>
      <c r="C549" s="117" t="s">
        <v>187</v>
      </c>
      <c r="D549" s="178">
        <v>100</v>
      </c>
      <c r="E549" s="316"/>
      <c r="F549" s="316"/>
      <c r="G549" s="316"/>
      <c r="H549" s="178">
        <v>100</v>
      </c>
      <c r="I549" s="178">
        <f>D549-H549</f>
        <v>0</v>
      </c>
      <c r="J549" s="351">
        <f t="shared" si="14"/>
        <v>0</v>
      </c>
      <c r="K549" s="316"/>
    </row>
    <row r="550" spans="1:11" s="1" customFormat="1" ht="12.75">
      <c r="A550" s="50" t="s">
        <v>441</v>
      </c>
      <c r="B550" s="117" t="s">
        <v>9</v>
      </c>
      <c r="C550" s="117"/>
      <c r="D550" s="178">
        <f>D551</f>
        <v>3214.6</v>
      </c>
      <c r="E550" s="316"/>
      <c r="F550" s="316"/>
      <c r="G550" s="316"/>
      <c r="H550" s="178">
        <f>H551</f>
        <v>3214.6</v>
      </c>
      <c r="I550" s="178">
        <f>I551</f>
        <v>0</v>
      </c>
      <c r="J550" s="351">
        <f t="shared" si="14"/>
        <v>0</v>
      </c>
      <c r="K550" s="316"/>
    </row>
    <row r="551" spans="1:11" s="1" customFormat="1" ht="12.75">
      <c r="A551" s="60" t="s">
        <v>226</v>
      </c>
      <c r="B551" s="117" t="s">
        <v>9</v>
      </c>
      <c r="C551" s="117" t="s">
        <v>188</v>
      </c>
      <c r="D551" s="178">
        <f>D552</f>
        <v>3214.6</v>
      </c>
      <c r="E551" s="316"/>
      <c r="F551" s="316"/>
      <c r="G551" s="316"/>
      <c r="H551" s="178">
        <f>H552</f>
        <v>3214.6</v>
      </c>
      <c r="I551" s="178">
        <f>I552</f>
        <v>0</v>
      </c>
      <c r="J551" s="351">
        <f t="shared" si="14"/>
        <v>0</v>
      </c>
      <c r="K551" s="316"/>
    </row>
    <row r="552" spans="1:11" s="1" customFormat="1" ht="12.75">
      <c r="A552" s="60" t="s">
        <v>189</v>
      </c>
      <c r="B552" s="117" t="s">
        <v>9</v>
      </c>
      <c r="C552" s="117" t="s">
        <v>187</v>
      </c>
      <c r="D552" s="178">
        <v>3214.6</v>
      </c>
      <c r="E552" s="316"/>
      <c r="F552" s="316"/>
      <c r="G552" s="316"/>
      <c r="H552" s="178">
        <v>3214.6</v>
      </c>
      <c r="I552" s="178">
        <f>D552-H552</f>
        <v>0</v>
      </c>
      <c r="J552" s="351">
        <f t="shared" si="14"/>
        <v>0</v>
      </c>
      <c r="K552" s="316"/>
    </row>
    <row r="553" spans="1:11" s="1" customFormat="1" ht="25.5">
      <c r="A553" s="50" t="s">
        <v>391</v>
      </c>
      <c r="B553" s="117" t="s">
        <v>648</v>
      </c>
      <c r="C553" s="117"/>
      <c r="D553" s="178">
        <f>D554</f>
        <v>2941.7</v>
      </c>
      <c r="E553" s="316"/>
      <c r="F553" s="316"/>
      <c r="G553" s="316"/>
      <c r="H553" s="178">
        <f>H554</f>
        <v>2941.7</v>
      </c>
      <c r="I553" s="178">
        <f>I554</f>
        <v>0</v>
      </c>
      <c r="J553" s="351">
        <f t="shared" si="14"/>
        <v>0</v>
      </c>
      <c r="K553" s="316"/>
    </row>
    <row r="554" spans="1:11" s="1" customFormat="1" ht="12.75">
      <c r="A554" s="63" t="s">
        <v>227</v>
      </c>
      <c r="B554" s="117" t="s">
        <v>648</v>
      </c>
      <c r="C554" s="117" t="s">
        <v>199</v>
      </c>
      <c r="D554" s="178">
        <f>D555</f>
        <v>2941.7</v>
      </c>
      <c r="E554" s="316"/>
      <c r="F554" s="316"/>
      <c r="G554" s="316"/>
      <c r="H554" s="178">
        <f>H555</f>
        <v>2941.7</v>
      </c>
      <c r="I554" s="178">
        <f>I555</f>
        <v>0</v>
      </c>
      <c r="J554" s="351">
        <f t="shared" si="14"/>
        <v>0</v>
      </c>
      <c r="K554" s="316"/>
    </row>
    <row r="555" spans="1:11" s="1" customFormat="1" ht="12.75">
      <c r="A555" s="64" t="s">
        <v>179</v>
      </c>
      <c r="B555" s="117" t="s">
        <v>648</v>
      </c>
      <c r="C555" s="117" t="s">
        <v>200</v>
      </c>
      <c r="D555" s="178">
        <v>2941.7</v>
      </c>
      <c r="E555" s="316"/>
      <c r="F555" s="316"/>
      <c r="G555" s="316"/>
      <c r="H555" s="178">
        <v>2941.7</v>
      </c>
      <c r="I555" s="178">
        <f>D555-H555</f>
        <v>0</v>
      </c>
      <c r="J555" s="351">
        <f t="shared" si="14"/>
        <v>0</v>
      </c>
      <c r="K555" s="316"/>
    </row>
    <row r="556" spans="1:11" s="1" customFormat="1" ht="12.75">
      <c r="A556" s="50" t="s">
        <v>403</v>
      </c>
      <c r="B556" s="309" t="s">
        <v>644</v>
      </c>
      <c r="C556" s="117"/>
      <c r="D556" s="178">
        <f>D557</f>
        <v>3547.571</v>
      </c>
      <c r="E556" s="316"/>
      <c r="F556" s="316"/>
      <c r="G556" s="316"/>
      <c r="H556" s="178">
        <f>H557</f>
        <v>3547.6000000000004</v>
      </c>
      <c r="I556" s="178">
        <f>I557</f>
        <v>-0.02900000000045111</v>
      </c>
      <c r="J556" s="351">
        <f t="shared" si="14"/>
        <v>-0.02900000000045111</v>
      </c>
      <c r="K556" s="316"/>
    </row>
    <row r="557" spans="1:11" s="1" customFormat="1" ht="12.75">
      <c r="A557" s="60" t="s">
        <v>226</v>
      </c>
      <c r="B557" s="309" t="s">
        <v>644</v>
      </c>
      <c r="C557" s="117" t="s">
        <v>188</v>
      </c>
      <c r="D557" s="178">
        <f>D558</f>
        <v>3547.571</v>
      </c>
      <c r="E557" s="316"/>
      <c r="F557" s="316"/>
      <c r="G557" s="316"/>
      <c r="H557" s="178">
        <f>H558</f>
        <v>3547.6000000000004</v>
      </c>
      <c r="I557" s="178">
        <f>I558</f>
        <v>-0.02900000000045111</v>
      </c>
      <c r="J557" s="351">
        <f t="shared" si="14"/>
        <v>-0.02900000000045111</v>
      </c>
      <c r="K557" s="316"/>
    </row>
    <row r="558" spans="1:11" s="1" customFormat="1" ht="12.75">
      <c r="A558" s="60" t="s">
        <v>189</v>
      </c>
      <c r="B558" s="309" t="s">
        <v>644</v>
      </c>
      <c r="C558" s="117" t="s">
        <v>187</v>
      </c>
      <c r="D558" s="178">
        <v>3547.571</v>
      </c>
      <c r="E558" s="316"/>
      <c r="F558" s="316"/>
      <c r="G558" s="316"/>
      <c r="H558" s="178">
        <f>319.3+3228.3</f>
        <v>3547.6000000000004</v>
      </c>
      <c r="I558" s="178">
        <f>D558-H558</f>
        <v>-0.02900000000045111</v>
      </c>
      <c r="J558" s="351">
        <f t="shared" si="14"/>
        <v>-0.02900000000045111</v>
      </c>
      <c r="K558" s="316"/>
    </row>
    <row r="559" spans="1:11" s="1" customFormat="1" ht="25.5">
      <c r="A559" s="109" t="s">
        <v>495</v>
      </c>
      <c r="B559" s="127" t="s">
        <v>61</v>
      </c>
      <c r="C559" s="127"/>
      <c r="D559" s="177">
        <f>D560+D566</f>
        <v>23029.600000000002</v>
      </c>
      <c r="E559" s="316"/>
      <c r="F559" s="316"/>
      <c r="G559" s="316"/>
      <c r="H559" s="177">
        <f>H560+H566</f>
        <v>25680</v>
      </c>
      <c r="I559" s="177">
        <f>I560+I566</f>
        <v>-2650.3999999999996</v>
      </c>
      <c r="J559" s="351">
        <f t="shared" si="14"/>
        <v>-2650.399999999998</v>
      </c>
      <c r="K559" s="316"/>
    </row>
    <row r="560" spans="1:11" s="1" customFormat="1" ht="25.5">
      <c r="A560" s="44" t="s">
        <v>515</v>
      </c>
      <c r="B560" s="116" t="s">
        <v>62</v>
      </c>
      <c r="C560" s="116"/>
      <c r="D560" s="184">
        <f>D561</f>
        <v>13524.800000000001</v>
      </c>
      <c r="E560" s="316"/>
      <c r="F560" s="316"/>
      <c r="G560" s="316"/>
      <c r="H560" s="184">
        <f>H561</f>
        <v>13524.800000000001</v>
      </c>
      <c r="I560" s="184">
        <f>I561</f>
        <v>0</v>
      </c>
      <c r="J560" s="351">
        <f t="shared" si="14"/>
        <v>0</v>
      </c>
      <c r="K560" s="316"/>
    </row>
    <row r="561" spans="1:11" s="1" customFormat="1" ht="12.75">
      <c r="A561" s="46" t="s">
        <v>115</v>
      </c>
      <c r="B561" s="121" t="s">
        <v>63</v>
      </c>
      <c r="C561" s="117"/>
      <c r="D561" s="178">
        <f>D562+D564</f>
        <v>13524.800000000001</v>
      </c>
      <c r="E561" s="316"/>
      <c r="F561" s="316"/>
      <c r="G561" s="316"/>
      <c r="H561" s="178">
        <f>H562+H564</f>
        <v>13524.800000000001</v>
      </c>
      <c r="I561" s="178">
        <f>I562+I564</f>
        <v>0</v>
      </c>
      <c r="J561" s="351">
        <f t="shared" si="14"/>
        <v>0</v>
      </c>
      <c r="K561" s="316"/>
    </row>
    <row r="562" spans="1:11" s="1" customFormat="1" ht="38.25">
      <c r="A562" s="60" t="s">
        <v>116</v>
      </c>
      <c r="B562" s="121" t="s">
        <v>63</v>
      </c>
      <c r="C562" s="117" t="s">
        <v>198</v>
      </c>
      <c r="D562" s="178">
        <f>D563</f>
        <v>12677.6</v>
      </c>
      <c r="E562" s="316"/>
      <c r="F562" s="316"/>
      <c r="G562" s="316"/>
      <c r="H562" s="178">
        <f>H563</f>
        <v>12677.6</v>
      </c>
      <c r="I562" s="178">
        <f>I563</f>
        <v>0</v>
      </c>
      <c r="J562" s="351">
        <f t="shared" si="14"/>
        <v>0</v>
      </c>
      <c r="K562" s="316"/>
    </row>
    <row r="563" spans="1:11" s="1" customFormat="1" ht="12.75">
      <c r="A563" s="63" t="s">
        <v>193</v>
      </c>
      <c r="B563" s="121" t="s">
        <v>63</v>
      </c>
      <c r="C563" s="117" t="s">
        <v>194</v>
      </c>
      <c r="D563" s="178">
        <f>12377.6+300</f>
        <v>12677.6</v>
      </c>
      <c r="E563" s="316"/>
      <c r="F563" s="316"/>
      <c r="G563" s="316"/>
      <c r="H563" s="178">
        <f>12377.6+300</f>
        <v>12677.6</v>
      </c>
      <c r="I563" s="178">
        <f>D563-H563</f>
        <v>0</v>
      </c>
      <c r="J563" s="351">
        <f t="shared" si="14"/>
        <v>0</v>
      </c>
      <c r="K563" s="316"/>
    </row>
    <row r="564" spans="1:11" s="1" customFormat="1" ht="12.75">
      <c r="A564" s="60" t="s">
        <v>226</v>
      </c>
      <c r="B564" s="121" t="s">
        <v>63</v>
      </c>
      <c r="C564" s="117" t="s">
        <v>188</v>
      </c>
      <c r="D564" s="178">
        <f>D565</f>
        <v>847.2</v>
      </c>
      <c r="E564" s="316"/>
      <c r="F564" s="316"/>
      <c r="G564" s="316"/>
      <c r="H564" s="178">
        <f>H565</f>
        <v>847.2</v>
      </c>
      <c r="I564" s="178">
        <f>I565</f>
        <v>0</v>
      </c>
      <c r="J564" s="351">
        <f t="shared" si="14"/>
        <v>0</v>
      </c>
      <c r="K564" s="316"/>
    </row>
    <row r="565" spans="1:11" s="1" customFormat="1" ht="12.75">
      <c r="A565" s="60" t="s">
        <v>189</v>
      </c>
      <c r="B565" s="121" t="s">
        <v>63</v>
      </c>
      <c r="C565" s="117" t="s">
        <v>187</v>
      </c>
      <c r="D565" s="178">
        <v>847.2</v>
      </c>
      <c r="E565" s="316"/>
      <c r="F565" s="316"/>
      <c r="G565" s="316"/>
      <c r="H565" s="178">
        <v>847.2</v>
      </c>
      <c r="I565" s="178">
        <f>D565-H565</f>
        <v>0</v>
      </c>
      <c r="J565" s="351">
        <f t="shared" si="14"/>
        <v>0</v>
      </c>
      <c r="K565" s="316"/>
    </row>
    <row r="566" spans="1:11" s="1" customFormat="1" ht="25.5" customHeight="1">
      <c r="A566" s="44" t="s">
        <v>516</v>
      </c>
      <c r="B566" s="116" t="s">
        <v>60</v>
      </c>
      <c r="C566" s="116"/>
      <c r="D566" s="184">
        <f>D567</f>
        <v>9504.800000000001</v>
      </c>
      <c r="E566" s="316"/>
      <c r="F566" s="316"/>
      <c r="G566" s="316"/>
      <c r="H566" s="184">
        <f>H567</f>
        <v>12155.2</v>
      </c>
      <c r="I566" s="184">
        <f>I567</f>
        <v>-2650.3999999999996</v>
      </c>
      <c r="J566" s="351">
        <f t="shared" si="14"/>
        <v>-2650.3999999999996</v>
      </c>
      <c r="K566" s="316"/>
    </row>
    <row r="567" spans="1:11" s="1" customFormat="1" ht="12.75">
      <c r="A567" s="46" t="s">
        <v>102</v>
      </c>
      <c r="B567" s="117" t="s">
        <v>59</v>
      </c>
      <c r="C567" s="117"/>
      <c r="D567" s="178">
        <f>D568</f>
        <v>9504.800000000001</v>
      </c>
      <c r="E567" s="316"/>
      <c r="F567" s="316"/>
      <c r="G567" s="316"/>
      <c r="H567" s="178">
        <f>H568</f>
        <v>12155.2</v>
      </c>
      <c r="I567" s="178">
        <f>I568</f>
        <v>-2650.3999999999996</v>
      </c>
      <c r="J567" s="351">
        <f t="shared" si="14"/>
        <v>-2650.3999999999996</v>
      </c>
      <c r="K567" s="316"/>
    </row>
    <row r="568" spans="1:11" s="1" customFormat="1" ht="12.75">
      <c r="A568" s="46" t="s">
        <v>111</v>
      </c>
      <c r="B568" s="117" t="s">
        <v>59</v>
      </c>
      <c r="C568" s="117" t="s">
        <v>113</v>
      </c>
      <c r="D568" s="178">
        <f>SUM(D569)</f>
        <v>9504.800000000001</v>
      </c>
      <c r="E568" s="316"/>
      <c r="F568" s="316"/>
      <c r="G568" s="316"/>
      <c r="H568" s="178">
        <f>SUM(H569)</f>
        <v>12155.2</v>
      </c>
      <c r="I568" s="178">
        <f>SUM(I569)</f>
        <v>-2650.3999999999996</v>
      </c>
      <c r="J568" s="351">
        <f t="shared" si="14"/>
        <v>-2650.3999999999996</v>
      </c>
      <c r="K568" s="316"/>
    </row>
    <row r="569" spans="1:11" s="1" customFormat="1" ht="12.75">
      <c r="A569" s="46" t="s">
        <v>112</v>
      </c>
      <c r="B569" s="117" t="s">
        <v>59</v>
      </c>
      <c r="C569" s="117" t="s">
        <v>114</v>
      </c>
      <c r="D569" s="178">
        <f>12155.2-2650.4</f>
        <v>9504.800000000001</v>
      </c>
      <c r="E569" s="316"/>
      <c r="F569" s="316"/>
      <c r="G569" s="316"/>
      <c r="H569" s="178">
        <v>12155.2</v>
      </c>
      <c r="I569" s="178">
        <f>D569-H569</f>
        <v>-2650.3999999999996</v>
      </c>
      <c r="J569" s="351">
        <f t="shared" si="14"/>
        <v>-2650.3999999999996</v>
      </c>
      <c r="K569" s="316"/>
    </row>
    <row r="570" spans="1:11" s="1" customFormat="1" ht="25.5">
      <c r="A570" s="129" t="s">
        <v>440</v>
      </c>
      <c r="B570" s="127" t="s">
        <v>332</v>
      </c>
      <c r="C570" s="127"/>
      <c r="D570" s="177">
        <f>D571+D574+D577</f>
        <v>6136.500999999999</v>
      </c>
      <c r="E570" s="316"/>
      <c r="F570" s="316"/>
      <c r="G570" s="316"/>
      <c r="H570" s="177">
        <f>H571+H574+H577</f>
        <v>6136.481</v>
      </c>
      <c r="I570" s="177">
        <f>I571+I574+I577</f>
        <v>0.019999999999527063</v>
      </c>
      <c r="J570" s="351">
        <f t="shared" si="14"/>
        <v>0.019999999999527063</v>
      </c>
      <c r="K570" s="316"/>
    </row>
    <row r="571" spans="1:11" s="1" customFormat="1" ht="25.5">
      <c r="A571" s="46" t="s">
        <v>94</v>
      </c>
      <c r="B571" s="117" t="s">
        <v>346</v>
      </c>
      <c r="C571" s="117"/>
      <c r="D571" s="178">
        <f>D572</f>
        <v>100</v>
      </c>
      <c r="E571" s="316"/>
      <c r="F571" s="316"/>
      <c r="G571" s="316"/>
      <c r="H571" s="178">
        <f>H572</f>
        <v>100</v>
      </c>
      <c r="I571" s="178">
        <f>I572</f>
        <v>0</v>
      </c>
      <c r="J571" s="351">
        <f t="shared" si="14"/>
        <v>0</v>
      </c>
      <c r="K571" s="316"/>
    </row>
    <row r="572" spans="1:11" s="1" customFormat="1" ht="12.75">
      <c r="A572" s="60" t="s">
        <v>226</v>
      </c>
      <c r="B572" s="117" t="s">
        <v>346</v>
      </c>
      <c r="C572" s="117" t="s">
        <v>188</v>
      </c>
      <c r="D572" s="178">
        <f>D573</f>
        <v>100</v>
      </c>
      <c r="E572" s="316"/>
      <c r="F572" s="316"/>
      <c r="G572" s="316"/>
      <c r="H572" s="178">
        <f>H573</f>
        <v>100</v>
      </c>
      <c r="I572" s="178">
        <f>I573</f>
        <v>0</v>
      </c>
      <c r="J572" s="351">
        <f t="shared" si="14"/>
        <v>0</v>
      </c>
      <c r="K572" s="316"/>
    </row>
    <row r="573" spans="1:11" s="1" customFormat="1" ht="12.75">
      <c r="A573" s="60" t="s">
        <v>189</v>
      </c>
      <c r="B573" s="117" t="s">
        <v>346</v>
      </c>
      <c r="C573" s="117" t="s">
        <v>187</v>
      </c>
      <c r="D573" s="178">
        <v>100</v>
      </c>
      <c r="E573" s="316"/>
      <c r="F573" s="316"/>
      <c r="G573" s="316"/>
      <c r="H573" s="178">
        <v>100</v>
      </c>
      <c r="I573" s="178">
        <f>D573-H573</f>
        <v>0</v>
      </c>
      <c r="J573" s="351">
        <f t="shared" si="14"/>
        <v>0</v>
      </c>
      <c r="K573" s="316"/>
    </row>
    <row r="574" spans="1:11" s="1" customFormat="1" ht="25.5">
      <c r="A574" s="46" t="s">
        <v>334</v>
      </c>
      <c r="B574" s="117" t="s">
        <v>333</v>
      </c>
      <c r="C574" s="117"/>
      <c r="D574" s="178">
        <f>D575</f>
        <v>55.181</v>
      </c>
      <c r="E574" s="316"/>
      <c r="F574" s="316"/>
      <c r="G574" s="316"/>
      <c r="H574" s="178">
        <f>H575</f>
        <v>55.181</v>
      </c>
      <c r="I574" s="178">
        <f>I575</f>
        <v>0</v>
      </c>
      <c r="J574" s="351">
        <f t="shared" si="14"/>
        <v>0</v>
      </c>
      <c r="K574" s="316"/>
    </row>
    <row r="575" spans="1:11" s="1" customFormat="1" ht="12.75">
      <c r="A575" s="63" t="s">
        <v>89</v>
      </c>
      <c r="B575" s="117" t="s">
        <v>333</v>
      </c>
      <c r="C575" s="117" t="s">
        <v>85</v>
      </c>
      <c r="D575" s="178">
        <f>D576</f>
        <v>55.181</v>
      </c>
      <c r="E575" s="316"/>
      <c r="F575" s="316"/>
      <c r="G575" s="316"/>
      <c r="H575" s="178">
        <f>H576</f>
        <v>55.181</v>
      </c>
      <c r="I575" s="178">
        <f>I576</f>
        <v>0</v>
      </c>
      <c r="J575" s="351">
        <f t="shared" si="14"/>
        <v>0</v>
      </c>
      <c r="K575" s="316"/>
    </row>
    <row r="576" spans="1:11" s="1" customFormat="1" ht="12.75">
      <c r="A576" s="46" t="s">
        <v>84</v>
      </c>
      <c r="B576" s="117" t="s">
        <v>333</v>
      </c>
      <c r="C576" s="117" t="s">
        <v>86</v>
      </c>
      <c r="D576" s="178">
        <v>55.181</v>
      </c>
      <c r="E576" s="316"/>
      <c r="F576" s="316"/>
      <c r="G576" s="316"/>
      <c r="H576" s="178">
        <v>55.181</v>
      </c>
      <c r="I576" s="178">
        <f>D576-H576</f>
        <v>0</v>
      </c>
      <c r="J576" s="351">
        <f t="shared" si="14"/>
        <v>0</v>
      </c>
      <c r="K576" s="316"/>
    </row>
    <row r="577" spans="1:11" s="1" customFormat="1" ht="25.5">
      <c r="A577" s="46" t="s">
        <v>121</v>
      </c>
      <c r="B577" s="117" t="s">
        <v>396</v>
      </c>
      <c r="C577" s="117"/>
      <c r="D577" s="178">
        <f>D578+D580</f>
        <v>5981.32</v>
      </c>
      <c r="E577" s="316"/>
      <c r="F577" s="316"/>
      <c r="G577" s="316"/>
      <c r="H577" s="178">
        <f>H578+H580</f>
        <v>5981.3</v>
      </c>
      <c r="I577" s="178">
        <f>I578+I580</f>
        <v>0.019999999999527063</v>
      </c>
      <c r="J577" s="351">
        <f t="shared" si="14"/>
        <v>0.019999999999527063</v>
      </c>
      <c r="K577" s="316"/>
    </row>
    <row r="578" spans="1:11" s="1" customFormat="1" ht="38.25">
      <c r="A578" s="60" t="s">
        <v>116</v>
      </c>
      <c r="B578" s="117" t="s">
        <v>396</v>
      </c>
      <c r="C578" s="117" t="s">
        <v>198</v>
      </c>
      <c r="D578" s="178">
        <f>D579</f>
        <v>5596.32</v>
      </c>
      <c r="E578" s="316"/>
      <c r="F578" s="316"/>
      <c r="G578" s="316"/>
      <c r="H578" s="178">
        <f>H579</f>
        <v>5596.3</v>
      </c>
      <c r="I578" s="178">
        <f>I579</f>
        <v>0.019999999999527063</v>
      </c>
      <c r="J578" s="351">
        <f t="shared" si="14"/>
        <v>0.019999999999527063</v>
      </c>
      <c r="K578" s="316"/>
    </row>
    <row r="579" spans="1:11" s="1" customFormat="1" ht="12.75">
      <c r="A579" s="63" t="s">
        <v>193</v>
      </c>
      <c r="B579" s="117" t="s">
        <v>396</v>
      </c>
      <c r="C579" s="117" t="s">
        <v>194</v>
      </c>
      <c r="D579" s="178">
        <v>5596.32</v>
      </c>
      <c r="E579" s="316"/>
      <c r="F579" s="316"/>
      <c r="G579" s="316"/>
      <c r="H579" s="178">
        <f>4403.3+1193</f>
        <v>5596.3</v>
      </c>
      <c r="I579" s="178">
        <f>D579-H579</f>
        <v>0.019999999999527063</v>
      </c>
      <c r="J579" s="351">
        <f t="shared" si="14"/>
        <v>0.019999999999527063</v>
      </c>
      <c r="K579" s="316"/>
    </row>
    <row r="580" spans="1:11" s="1" customFormat="1" ht="12.75">
      <c r="A580" s="60" t="s">
        <v>226</v>
      </c>
      <c r="B580" s="117" t="s">
        <v>396</v>
      </c>
      <c r="C580" s="117" t="s">
        <v>188</v>
      </c>
      <c r="D580" s="178">
        <f>D581</f>
        <v>385</v>
      </c>
      <c r="E580" s="316"/>
      <c r="F580" s="316"/>
      <c r="G580" s="316"/>
      <c r="H580" s="178">
        <f>H581</f>
        <v>385</v>
      </c>
      <c r="I580" s="178">
        <f>I581</f>
        <v>0</v>
      </c>
      <c r="J580" s="351">
        <f t="shared" si="14"/>
        <v>0</v>
      </c>
      <c r="K580" s="316"/>
    </row>
    <row r="581" spans="1:11" s="1" customFormat="1" ht="12.75">
      <c r="A581" s="60" t="s">
        <v>189</v>
      </c>
      <c r="B581" s="117" t="s">
        <v>396</v>
      </c>
      <c r="C581" s="117" t="s">
        <v>187</v>
      </c>
      <c r="D581" s="178">
        <v>385</v>
      </c>
      <c r="E581" s="316"/>
      <c r="F581" s="316"/>
      <c r="G581" s="316"/>
      <c r="H581" s="178">
        <v>385</v>
      </c>
      <c r="I581" s="178">
        <f>D581-H581</f>
        <v>0</v>
      </c>
      <c r="J581" s="351">
        <f t="shared" si="14"/>
        <v>0</v>
      </c>
      <c r="K581" s="316"/>
    </row>
    <row r="582" spans="1:11" s="1" customFormat="1" ht="12.75">
      <c r="A582" s="129" t="s">
        <v>512</v>
      </c>
      <c r="B582" s="127" t="s">
        <v>22</v>
      </c>
      <c r="C582" s="127"/>
      <c r="D582" s="177">
        <f>D583+D590</f>
        <v>211002.98799999998</v>
      </c>
      <c r="E582" s="316"/>
      <c r="F582" s="316"/>
      <c r="G582" s="316"/>
      <c r="H582" s="177">
        <f>H583+H590</f>
        <v>207209.6</v>
      </c>
      <c r="I582" s="177">
        <f>I583+I590</f>
        <v>3793.388000000003</v>
      </c>
      <c r="J582" s="351">
        <f aca="true" t="shared" si="17" ref="J582:J645">D582-H582</f>
        <v>3793.387999999977</v>
      </c>
      <c r="K582" s="316"/>
    </row>
    <row r="583" spans="1:11" s="1" customFormat="1" ht="25.5">
      <c r="A583" s="65" t="s">
        <v>311</v>
      </c>
      <c r="B583" s="116" t="s">
        <v>278</v>
      </c>
      <c r="C583" s="116"/>
      <c r="D583" s="184">
        <f aca="true" t="shared" si="18" ref="D583:I583">D587+D584</f>
        <v>3552.389</v>
      </c>
      <c r="E583" s="184">
        <f t="shared" si="18"/>
        <v>0</v>
      </c>
      <c r="F583" s="184">
        <f t="shared" si="18"/>
        <v>0</v>
      </c>
      <c r="G583" s="184">
        <f t="shared" si="18"/>
        <v>0</v>
      </c>
      <c r="H583" s="184">
        <f t="shared" si="18"/>
        <v>220</v>
      </c>
      <c r="I583" s="184">
        <f t="shared" si="18"/>
        <v>3332.389</v>
      </c>
      <c r="J583" s="351">
        <f t="shared" si="17"/>
        <v>3332.389</v>
      </c>
      <c r="K583" s="316"/>
    </row>
    <row r="584" spans="1:11" s="1" customFormat="1" ht="12.75">
      <c r="A584" s="46" t="s">
        <v>695</v>
      </c>
      <c r="B584" s="117" t="s">
        <v>712</v>
      </c>
      <c r="C584" s="117"/>
      <c r="D584" s="178">
        <f>D585</f>
        <v>2300</v>
      </c>
      <c r="E584" s="316"/>
      <c r="F584" s="316"/>
      <c r="G584" s="316"/>
      <c r="H584" s="178">
        <f>H585</f>
        <v>0</v>
      </c>
      <c r="I584" s="178">
        <f>I585</f>
        <v>2300</v>
      </c>
      <c r="J584" s="351">
        <f t="shared" si="17"/>
        <v>2300</v>
      </c>
      <c r="K584" s="316"/>
    </row>
    <row r="585" spans="1:11" s="1" customFormat="1" ht="12.75">
      <c r="A585" s="63" t="s">
        <v>227</v>
      </c>
      <c r="B585" s="117" t="s">
        <v>712</v>
      </c>
      <c r="C585" s="117" t="s">
        <v>199</v>
      </c>
      <c r="D585" s="178">
        <f>D586</f>
        <v>2300</v>
      </c>
      <c r="E585" s="316"/>
      <c r="F585" s="316"/>
      <c r="G585" s="316"/>
      <c r="H585" s="178">
        <f>H586</f>
        <v>0</v>
      </c>
      <c r="I585" s="178">
        <f>I586</f>
        <v>2300</v>
      </c>
      <c r="J585" s="351">
        <f t="shared" si="17"/>
        <v>2300</v>
      </c>
      <c r="K585" s="316"/>
    </row>
    <row r="586" spans="1:11" s="1" customFormat="1" ht="12.75">
      <c r="A586" s="64" t="s">
        <v>179</v>
      </c>
      <c r="B586" s="117" t="s">
        <v>712</v>
      </c>
      <c r="C586" s="117" t="s">
        <v>200</v>
      </c>
      <c r="D586" s="178">
        <v>2300</v>
      </c>
      <c r="E586" s="316"/>
      <c r="F586" s="316"/>
      <c r="G586" s="316"/>
      <c r="H586" s="178">
        <v>0</v>
      </c>
      <c r="I586" s="178">
        <f>D586-H586</f>
        <v>2300</v>
      </c>
      <c r="J586" s="351">
        <f t="shared" si="17"/>
        <v>2300</v>
      </c>
      <c r="K586" s="316"/>
    </row>
    <row r="587" spans="1:11" s="1" customFormat="1" ht="12.75">
      <c r="A587" s="46" t="s">
        <v>280</v>
      </c>
      <c r="B587" s="117" t="s">
        <v>279</v>
      </c>
      <c r="C587" s="117"/>
      <c r="D587" s="178">
        <f>D588</f>
        <v>1252.389</v>
      </c>
      <c r="E587" s="316"/>
      <c r="F587" s="316"/>
      <c r="G587" s="316"/>
      <c r="H587" s="178">
        <f>H588</f>
        <v>220</v>
      </c>
      <c r="I587" s="178">
        <f>I588</f>
        <v>1032.389</v>
      </c>
      <c r="J587" s="351">
        <f t="shared" si="17"/>
        <v>1032.389</v>
      </c>
      <c r="K587" s="316"/>
    </row>
    <row r="588" spans="1:11" s="1" customFormat="1" ht="12.75">
      <c r="A588" s="63" t="s">
        <v>89</v>
      </c>
      <c r="B588" s="117" t="s">
        <v>279</v>
      </c>
      <c r="C588" s="117" t="s">
        <v>85</v>
      </c>
      <c r="D588" s="178">
        <f>D589</f>
        <v>1252.389</v>
      </c>
      <c r="E588" s="316"/>
      <c r="F588" s="316"/>
      <c r="G588" s="316"/>
      <c r="H588" s="178">
        <f>H589</f>
        <v>220</v>
      </c>
      <c r="I588" s="178">
        <f>I589</f>
        <v>1032.389</v>
      </c>
      <c r="J588" s="351">
        <f t="shared" si="17"/>
        <v>1032.389</v>
      </c>
      <c r="K588" s="316"/>
    </row>
    <row r="589" spans="1:11" s="1" customFormat="1" ht="12.75">
      <c r="A589" s="46" t="s">
        <v>84</v>
      </c>
      <c r="B589" s="117" t="s">
        <v>279</v>
      </c>
      <c r="C589" s="117" t="s">
        <v>86</v>
      </c>
      <c r="D589" s="178">
        <v>1252.389</v>
      </c>
      <c r="E589" s="316"/>
      <c r="F589" s="316"/>
      <c r="G589" s="316"/>
      <c r="H589" s="178">
        <f>220</f>
        <v>220</v>
      </c>
      <c r="I589" s="178">
        <f>D589-H589</f>
        <v>1032.389</v>
      </c>
      <c r="J589" s="351">
        <f t="shared" si="17"/>
        <v>1032.389</v>
      </c>
      <c r="K589" s="316"/>
    </row>
    <row r="590" spans="1:11" s="4" customFormat="1" ht="12.75">
      <c r="A590" s="65" t="s">
        <v>289</v>
      </c>
      <c r="B590" s="116" t="s">
        <v>281</v>
      </c>
      <c r="C590" s="116"/>
      <c r="D590" s="184">
        <f aca="true" t="shared" si="19" ref="D590:I590">D603+D612+D615+D618+D621+D624+D627+D597+D600+D606+D609+D591+D594</f>
        <v>207450.599</v>
      </c>
      <c r="E590" s="184">
        <f t="shared" si="19"/>
        <v>0</v>
      </c>
      <c r="F590" s="184">
        <f t="shared" si="19"/>
        <v>0</v>
      </c>
      <c r="G590" s="184">
        <f t="shared" si="19"/>
        <v>0</v>
      </c>
      <c r="H590" s="184">
        <f>H603+H612+H615+H618+H621+H624+H627+H597+H600+H606+H609+H591+H594</f>
        <v>206989.6</v>
      </c>
      <c r="I590" s="184">
        <f t="shared" si="19"/>
        <v>460.999000000003</v>
      </c>
      <c r="J590" s="351">
        <f t="shared" si="17"/>
        <v>460.9989999999816</v>
      </c>
      <c r="K590" s="317"/>
    </row>
    <row r="591" spans="1:11" s="4" customFormat="1" ht="25.5">
      <c r="A591" s="46" t="s">
        <v>693</v>
      </c>
      <c r="B591" s="117" t="s">
        <v>692</v>
      </c>
      <c r="C591" s="117"/>
      <c r="D591" s="178">
        <f>D592</f>
        <v>4041.457</v>
      </c>
      <c r="E591" s="317"/>
      <c r="F591" s="317"/>
      <c r="G591" s="317"/>
      <c r="H591" s="178">
        <f>H592</f>
        <v>3580.5</v>
      </c>
      <c r="I591" s="178">
        <f>I592</f>
        <v>460.9569999999999</v>
      </c>
      <c r="J591" s="351">
        <f t="shared" si="17"/>
        <v>460.9569999999999</v>
      </c>
      <c r="K591" s="317"/>
    </row>
    <row r="592" spans="1:11" s="4" customFormat="1" ht="12.75">
      <c r="A592" s="63" t="s">
        <v>227</v>
      </c>
      <c r="B592" s="117" t="s">
        <v>692</v>
      </c>
      <c r="C592" s="117" t="s">
        <v>199</v>
      </c>
      <c r="D592" s="178">
        <f>D593</f>
        <v>4041.457</v>
      </c>
      <c r="E592" s="317"/>
      <c r="F592" s="317"/>
      <c r="G592" s="317"/>
      <c r="H592" s="178">
        <f>H593</f>
        <v>3580.5</v>
      </c>
      <c r="I592" s="178">
        <f>I593</f>
        <v>460.9569999999999</v>
      </c>
      <c r="J592" s="351">
        <f t="shared" si="17"/>
        <v>460.9569999999999</v>
      </c>
      <c r="K592" s="317"/>
    </row>
    <row r="593" spans="1:11" s="4" customFormat="1" ht="12.75">
      <c r="A593" s="64" t="s">
        <v>179</v>
      </c>
      <c r="B593" s="117" t="s">
        <v>692</v>
      </c>
      <c r="C593" s="117" t="s">
        <v>200</v>
      </c>
      <c r="D593" s="178">
        <f>3580.457+461</f>
        <v>4041.457</v>
      </c>
      <c r="E593" s="317"/>
      <c r="F593" s="317"/>
      <c r="G593" s="317"/>
      <c r="H593" s="178">
        <v>3580.5</v>
      </c>
      <c r="I593" s="178">
        <f>D593-H593</f>
        <v>460.9569999999999</v>
      </c>
      <c r="J593" s="351">
        <f t="shared" si="17"/>
        <v>460.9569999999999</v>
      </c>
      <c r="K593" s="317"/>
    </row>
    <row r="594" spans="1:11" s="4" customFormat="1" ht="12.75">
      <c r="A594" s="46" t="s">
        <v>695</v>
      </c>
      <c r="B594" s="117" t="s">
        <v>694</v>
      </c>
      <c r="C594" s="117"/>
      <c r="D594" s="178">
        <f>D595</f>
        <v>2261.052</v>
      </c>
      <c r="E594" s="317"/>
      <c r="F594" s="317"/>
      <c r="G594" s="317"/>
      <c r="H594" s="178">
        <f>H595</f>
        <v>2261.1</v>
      </c>
      <c r="I594" s="178">
        <f>I595</f>
        <v>-0.047999999999774445</v>
      </c>
      <c r="J594" s="351">
        <f t="shared" si="17"/>
        <v>-0.047999999999774445</v>
      </c>
      <c r="K594" s="317"/>
    </row>
    <row r="595" spans="1:11" s="4" customFormat="1" ht="12.75">
      <c r="A595" s="63" t="s">
        <v>227</v>
      </c>
      <c r="B595" s="117" t="s">
        <v>694</v>
      </c>
      <c r="C595" s="117" t="s">
        <v>199</v>
      </c>
      <c r="D595" s="178">
        <f>D596</f>
        <v>2261.052</v>
      </c>
      <c r="E595" s="317"/>
      <c r="F595" s="317"/>
      <c r="G595" s="317"/>
      <c r="H595" s="178">
        <f>H596</f>
        <v>2261.1</v>
      </c>
      <c r="I595" s="178">
        <f>I596</f>
        <v>-0.047999999999774445</v>
      </c>
      <c r="J595" s="351">
        <f t="shared" si="17"/>
        <v>-0.047999999999774445</v>
      </c>
      <c r="K595" s="317"/>
    </row>
    <row r="596" spans="1:11" s="4" customFormat="1" ht="12.75">
      <c r="A596" s="64" t="s">
        <v>179</v>
      </c>
      <c r="B596" s="117" t="s">
        <v>694</v>
      </c>
      <c r="C596" s="117" t="s">
        <v>200</v>
      </c>
      <c r="D596" s="178">
        <v>2261.052</v>
      </c>
      <c r="E596" s="317"/>
      <c r="F596" s="317"/>
      <c r="G596" s="317"/>
      <c r="H596" s="178">
        <v>2261.1</v>
      </c>
      <c r="I596" s="178">
        <f>D596-H596</f>
        <v>-0.047999999999774445</v>
      </c>
      <c r="J596" s="351">
        <f t="shared" si="17"/>
        <v>-0.047999999999774445</v>
      </c>
      <c r="K596" s="317"/>
    </row>
    <row r="597" spans="1:11" s="4" customFormat="1" ht="26.25" customHeight="1">
      <c r="A597" s="46" t="s">
        <v>664</v>
      </c>
      <c r="B597" s="117" t="s">
        <v>662</v>
      </c>
      <c r="C597" s="117"/>
      <c r="D597" s="178">
        <f>D598</f>
        <v>82146</v>
      </c>
      <c r="E597" s="317"/>
      <c r="F597" s="317"/>
      <c r="G597" s="317"/>
      <c r="H597" s="178">
        <f>H598</f>
        <v>82146</v>
      </c>
      <c r="I597" s="178">
        <f>I598</f>
        <v>0</v>
      </c>
      <c r="J597" s="351">
        <f t="shared" si="17"/>
        <v>0</v>
      </c>
      <c r="K597" s="317"/>
    </row>
    <row r="598" spans="1:11" s="4" customFormat="1" ht="12.75">
      <c r="A598" s="63" t="s">
        <v>227</v>
      </c>
      <c r="B598" s="117" t="s">
        <v>662</v>
      </c>
      <c r="C598" s="117" t="s">
        <v>178</v>
      </c>
      <c r="D598" s="178">
        <f>D599</f>
        <v>82146</v>
      </c>
      <c r="E598" s="317"/>
      <c r="F598" s="317"/>
      <c r="G598" s="317"/>
      <c r="H598" s="178">
        <f>H599</f>
        <v>82146</v>
      </c>
      <c r="I598" s="178">
        <f>I599</f>
        <v>0</v>
      </c>
      <c r="J598" s="351">
        <f t="shared" si="17"/>
        <v>0</v>
      </c>
      <c r="K598" s="317"/>
    </row>
    <row r="599" spans="1:11" s="4" customFormat="1" ht="12.75">
      <c r="A599" s="64" t="s">
        <v>179</v>
      </c>
      <c r="B599" s="117" t="s">
        <v>662</v>
      </c>
      <c r="C599" s="117" t="s">
        <v>192</v>
      </c>
      <c r="D599" s="178">
        <f>79487.8+1622.2+413+623</f>
        <v>82146</v>
      </c>
      <c r="E599" s="317"/>
      <c r="F599" s="317"/>
      <c r="G599" s="317"/>
      <c r="H599" s="178">
        <f>79487.8+1622.2+413+623</f>
        <v>82146</v>
      </c>
      <c r="I599" s="178">
        <f>D599-H599</f>
        <v>0</v>
      </c>
      <c r="J599" s="351">
        <f t="shared" si="17"/>
        <v>0</v>
      </c>
      <c r="K599" s="317"/>
    </row>
    <row r="600" spans="1:11" s="4" customFormat="1" ht="25.5">
      <c r="A600" s="46" t="s">
        <v>665</v>
      </c>
      <c r="B600" s="117" t="s">
        <v>663</v>
      </c>
      <c r="C600" s="117"/>
      <c r="D600" s="178">
        <f>D601</f>
        <v>23425.65</v>
      </c>
      <c r="E600" s="317"/>
      <c r="F600" s="317"/>
      <c r="G600" s="317"/>
      <c r="H600" s="178">
        <f>H601</f>
        <v>23425.7</v>
      </c>
      <c r="I600" s="178">
        <f>I601</f>
        <v>-0.049999999999272404</v>
      </c>
      <c r="J600" s="351">
        <f t="shared" si="17"/>
        <v>-0.049999999999272404</v>
      </c>
      <c r="K600" s="317"/>
    </row>
    <row r="601" spans="1:11" s="4" customFormat="1" ht="12.75">
      <c r="A601" s="63" t="s">
        <v>227</v>
      </c>
      <c r="B601" s="117" t="s">
        <v>663</v>
      </c>
      <c r="C601" s="117" t="s">
        <v>178</v>
      </c>
      <c r="D601" s="178">
        <f>D602</f>
        <v>23425.65</v>
      </c>
      <c r="E601" s="317"/>
      <c r="F601" s="317"/>
      <c r="G601" s="317"/>
      <c r="H601" s="178">
        <f>H602</f>
        <v>23425.7</v>
      </c>
      <c r="I601" s="178">
        <f>I602</f>
        <v>-0.049999999999272404</v>
      </c>
      <c r="J601" s="351">
        <f t="shared" si="17"/>
        <v>-0.049999999999272404</v>
      </c>
      <c r="K601" s="317"/>
    </row>
    <row r="602" spans="1:11" s="4" customFormat="1" ht="12.75">
      <c r="A602" s="64" t="s">
        <v>179</v>
      </c>
      <c r="B602" s="117" t="s">
        <v>663</v>
      </c>
      <c r="C602" s="117" t="s">
        <v>192</v>
      </c>
      <c r="D602" s="178">
        <v>23425.65</v>
      </c>
      <c r="E602" s="317"/>
      <c r="F602" s="317"/>
      <c r="G602" s="317"/>
      <c r="H602" s="178">
        <f>22669+462.7+117+177</f>
        <v>23425.7</v>
      </c>
      <c r="I602" s="178">
        <f>D602-H602</f>
        <v>-0.049999999999272404</v>
      </c>
      <c r="J602" s="351">
        <f t="shared" si="17"/>
        <v>-0.049999999999272404</v>
      </c>
      <c r="K602" s="317"/>
    </row>
    <row r="603" spans="1:11" s="4" customFormat="1" ht="38.25">
      <c r="A603" s="46" t="s">
        <v>647</v>
      </c>
      <c r="B603" s="117" t="s">
        <v>646</v>
      </c>
      <c r="C603" s="117"/>
      <c r="D603" s="178">
        <f>D604</f>
        <v>29298.8</v>
      </c>
      <c r="E603" s="317"/>
      <c r="F603" s="317"/>
      <c r="G603" s="317"/>
      <c r="H603" s="178">
        <f>H604</f>
        <v>29298.8</v>
      </c>
      <c r="I603" s="178">
        <f>I604</f>
        <v>0</v>
      </c>
      <c r="J603" s="351">
        <f t="shared" si="17"/>
        <v>0</v>
      </c>
      <c r="K603" s="317"/>
    </row>
    <row r="604" spans="1:11" s="4" customFormat="1" ht="12.75">
      <c r="A604" s="63" t="s">
        <v>227</v>
      </c>
      <c r="B604" s="117" t="s">
        <v>646</v>
      </c>
      <c r="C604" s="117" t="s">
        <v>178</v>
      </c>
      <c r="D604" s="178">
        <f>D605</f>
        <v>29298.8</v>
      </c>
      <c r="E604" s="317"/>
      <c r="F604" s="317"/>
      <c r="G604" s="317"/>
      <c r="H604" s="178">
        <f>H605</f>
        <v>29298.8</v>
      </c>
      <c r="I604" s="178">
        <f>I605</f>
        <v>0</v>
      </c>
      <c r="J604" s="351">
        <f t="shared" si="17"/>
        <v>0</v>
      </c>
      <c r="K604" s="317"/>
    </row>
    <row r="605" spans="1:11" s="4" customFormat="1" ht="12.75">
      <c r="A605" s="64" t="s">
        <v>179</v>
      </c>
      <c r="B605" s="117" t="s">
        <v>646</v>
      </c>
      <c r="C605" s="117" t="s">
        <v>192</v>
      </c>
      <c r="D605" s="178">
        <v>29298.8</v>
      </c>
      <c r="E605" s="317"/>
      <c r="F605" s="317"/>
      <c r="G605" s="317"/>
      <c r="H605" s="178">
        <v>29298.8</v>
      </c>
      <c r="I605" s="178">
        <f>D605-H605</f>
        <v>0</v>
      </c>
      <c r="J605" s="351">
        <f t="shared" si="17"/>
        <v>0</v>
      </c>
      <c r="K605" s="317"/>
    </row>
    <row r="606" spans="1:11" s="4" customFormat="1" ht="25.5">
      <c r="A606" s="46" t="s">
        <v>661</v>
      </c>
      <c r="B606" s="117" t="s">
        <v>660</v>
      </c>
      <c r="C606" s="117"/>
      <c r="D606" s="178">
        <f>D607</f>
        <v>25012.9</v>
      </c>
      <c r="E606" s="317"/>
      <c r="F606" s="317"/>
      <c r="G606" s="317"/>
      <c r="H606" s="178">
        <f>H607</f>
        <v>25012.8</v>
      </c>
      <c r="I606" s="178">
        <f>I607</f>
        <v>0.10000000000218279</v>
      </c>
      <c r="J606" s="351">
        <f t="shared" si="17"/>
        <v>0.10000000000218279</v>
      </c>
      <c r="K606" s="317"/>
    </row>
    <row r="607" spans="1:11" s="4" customFormat="1" ht="12.75">
      <c r="A607" s="63" t="s">
        <v>227</v>
      </c>
      <c r="B607" s="117" t="s">
        <v>660</v>
      </c>
      <c r="C607" s="117" t="s">
        <v>178</v>
      </c>
      <c r="D607" s="178">
        <f>D608</f>
        <v>25012.9</v>
      </c>
      <c r="E607" s="317"/>
      <c r="F607" s="317"/>
      <c r="G607" s="317"/>
      <c r="H607" s="178">
        <f>H608</f>
        <v>25012.8</v>
      </c>
      <c r="I607" s="178">
        <f>I608</f>
        <v>0.10000000000218279</v>
      </c>
      <c r="J607" s="351">
        <f t="shared" si="17"/>
        <v>0.10000000000218279</v>
      </c>
      <c r="K607" s="317"/>
    </row>
    <row r="608" spans="1:11" s="4" customFormat="1" ht="12.75">
      <c r="A608" s="64" t="s">
        <v>179</v>
      </c>
      <c r="B608" s="117" t="s">
        <v>660</v>
      </c>
      <c r="C608" s="117" t="s">
        <v>192</v>
      </c>
      <c r="D608" s="178">
        <v>25012.9</v>
      </c>
      <c r="E608" s="317"/>
      <c r="F608" s="317"/>
      <c r="G608" s="317"/>
      <c r="H608" s="178">
        <f>24204.8+494+125+189</f>
        <v>25012.8</v>
      </c>
      <c r="I608" s="178">
        <f>D608-H608</f>
        <v>0.10000000000218279</v>
      </c>
      <c r="J608" s="351">
        <f t="shared" si="17"/>
        <v>0.10000000000218279</v>
      </c>
      <c r="K608" s="317"/>
    </row>
    <row r="609" spans="1:11" s="4" customFormat="1" ht="38.25">
      <c r="A609" s="64" t="s">
        <v>668</v>
      </c>
      <c r="B609" s="117" t="s">
        <v>667</v>
      </c>
      <c r="C609" s="117"/>
      <c r="D609" s="178">
        <f>D610</f>
        <v>29197.7</v>
      </c>
      <c r="E609" s="317"/>
      <c r="F609" s="317"/>
      <c r="G609" s="317"/>
      <c r="H609" s="178">
        <f>H610</f>
        <v>29197.7</v>
      </c>
      <c r="I609" s="178">
        <f>I610</f>
        <v>0</v>
      </c>
      <c r="J609" s="351">
        <f t="shared" si="17"/>
        <v>0</v>
      </c>
      <c r="K609" s="317"/>
    </row>
    <row r="610" spans="1:11" s="4" customFormat="1" ht="12.75">
      <c r="A610" s="63" t="s">
        <v>227</v>
      </c>
      <c r="B610" s="117" t="s">
        <v>667</v>
      </c>
      <c r="C610" s="117" t="s">
        <v>178</v>
      </c>
      <c r="D610" s="178">
        <f>D611</f>
        <v>29197.7</v>
      </c>
      <c r="E610" s="317"/>
      <c r="F610" s="317"/>
      <c r="G610" s="317"/>
      <c r="H610" s="178">
        <f>H611</f>
        <v>29197.7</v>
      </c>
      <c r="I610" s="178">
        <f>I611</f>
        <v>0</v>
      </c>
      <c r="J610" s="351">
        <f t="shared" si="17"/>
        <v>0</v>
      </c>
      <c r="K610" s="317"/>
    </row>
    <row r="611" spans="1:11" s="4" customFormat="1" ht="12.75">
      <c r="A611" s="64" t="s">
        <v>197</v>
      </c>
      <c r="B611" s="117" t="s">
        <v>667</v>
      </c>
      <c r="C611" s="117" t="s">
        <v>196</v>
      </c>
      <c r="D611" s="178">
        <v>29197.7</v>
      </c>
      <c r="E611" s="317"/>
      <c r="F611" s="317"/>
      <c r="G611" s="317"/>
      <c r="H611" s="178">
        <f>324+28873.7</f>
        <v>29197.7</v>
      </c>
      <c r="I611" s="178">
        <f>D611-H611</f>
        <v>0</v>
      </c>
      <c r="J611" s="351">
        <f t="shared" si="17"/>
        <v>0</v>
      </c>
      <c r="K611" s="317"/>
    </row>
    <row r="612" spans="1:11" s="4" customFormat="1" ht="25.5">
      <c r="A612" s="46" t="s">
        <v>651</v>
      </c>
      <c r="B612" s="117" t="s">
        <v>650</v>
      </c>
      <c r="C612" s="117"/>
      <c r="D612" s="178">
        <f>D613</f>
        <v>2503.8</v>
      </c>
      <c r="E612" s="317"/>
      <c r="F612" s="317"/>
      <c r="G612" s="317"/>
      <c r="H612" s="178">
        <f>H613</f>
        <v>2503.8</v>
      </c>
      <c r="I612" s="178">
        <f>I613</f>
        <v>0</v>
      </c>
      <c r="J612" s="351">
        <f t="shared" si="17"/>
        <v>0</v>
      </c>
      <c r="K612" s="317"/>
    </row>
    <row r="613" spans="1:11" s="4" customFormat="1" ht="12.75">
      <c r="A613" s="63" t="s">
        <v>227</v>
      </c>
      <c r="B613" s="117" t="s">
        <v>650</v>
      </c>
      <c r="C613" s="117" t="s">
        <v>199</v>
      </c>
      <c r="D613" s="178">
        <f>D614</f>
        <v>2503.8</v>
      </c>
      <c r="E613" s="317"/>
      <c r="F613" s="317"/>
      <c r="G613" s="317"/>
      <c r="H613" s="178">
        <f>H614</f>
        <v>2503.8</v>
      </c>
      <c r="I613" s="178">
        <f>I614</f>
        <v>0</v>
      </c>
      <c r="J613" s="351">
        <f t="shared" si="17"/>
        <v>0</v>
      </c>
      <c r="K613" s="317"/>
    </row>
    <row r="614" spans="1:11" s="4" customFormat="1" ht="12.75">
      <c r="A614" s="64" t="s">
        <v>179</v>
      </c>
      <c r="B614" s="117" t="s">
        <v>650</v>
      </c>
      <c r="C614" s="117" t="s">
        <v>200</v>
      </c>
      <c r="D614" s="178">
        <v>2503.8</v>
      </c>
      <c r="E614" s="317"/>
      <c r="F614" s="317"/>
      <c r="G614" s="317"/>
      <c r="H614" s="178">
        <v>2503.8</v>
      </c>
      <c r="I614" s="178">
        <f>D614-H614</f>
        <v>0</v>
      </c>
      <c r="J614" s="351">
        <f t="shared" si="17"/>
        <v>0</v>
      </c>
      <c r="K614" s="317"/>
    </row>
    <row r="615" spans="1:11" s="4" customFormat="1" ht="25.5">
      <c r="A615" s="46" t="s">
        <v>659</v>
      </c>
      <c r="B615" s="117" t="s">
        <v>658</v>
      </c>
      <c r="C615" s="117"/>
      <c r="D615" s="178">
        <f>D616</f>
        <v>2997.1</v>
      </c>
      <c r="E615" s="317"/>
      <c r="F615" s="317"/>
      <c r="G615" s="317"/>
      <c r="H615" s="178">
        <f>H616</f>
        <v>2997.1</v>
      </c>
      <c r="I615" s="178">
        <f>I616</f>
        <v>0</v>
      </c>
      <c r="J615" s="351">
        <f t="shared" si="17"/>
        <v>0</v>
      </c>
      <c r="K615" s="317"/>
    </row>
    <row r="616" spans="1:11" s="4" customFormat="1" ht="12.75">
      <c r="A616" s="63" t="s">
        <v>227</v>
      </c>
      <c r="B616" s="117" t="s">
        <v>658</v>
      </c>
      <c r="C616" s="117" t="s">
        <v>199</v>
      </c>
      <c r="D616" s="178">
        <f>D617</f>
        <v>2997.1</v>
      </c>
      <c r="E616" s="317"/>
      <c r="F616" s="317"/>
      <c r="G616" s="317"/>
      <c r="H616" s="178">
        <f>H617</f>
        <v>2997.1</v>
      </c>
      <c r="I616" s="178">
        <f>I617</f>
        <v>0</v>
      </c>
      <c r="J616" s="351">
        <f t="shared" si="17"/>
        <v>0</v>
      </c>
      <c r="K616" s="317"/>
    </row>
    <row r="617" spans="1:11" s="4" customFormat="1" ht="12.75">
      <c r="A617" s="64" t="s">
        <v>179</v>
      </c>
      <c r="B617" s="117" t="s">
        <v>658</v>
      </c>
      <c r="C617" s="117" t="s">
        <v>200</v>
      </c>
      <c r="D617" s="178">
        <v>2997.1</v>
      </c>
      <c r="E617" s="317"/>
      <c r="F617" s="317"/>
      <c r="G617" s="317"/>
      <c r="H617" s="178">
        <v>2997.1</v>
      </c>
      <c r="I617" s="178">
        <f>D617-H617</f>
        <v>0</v>
      </c>
      <c r="J617" s="351">
        <f t="shared" si="17"/>
        <v>0</v>
      </c>
      <c r="K617" s="317"/>
    </row>
    <row r="618" spans="1:11" s="4" customFormat="1" ht="25.5">
      <c r="A618" s="46" t="s">
        <v>653</v>
      </c>
      <c r="B618" s="117" t="s">
        <v>652</v>
      </c>
      <c r="C618" s="117"/>
      <c r="D618" s="178">
        <f>D619</f>
        <v>1998.32</v>
      </c>
      <c r="E618" s="317"/>
      <c r="F618" s="317"/>
      <c r="G618" s="317"/>
      <c r="H618" s="178">
        <f>H619</f>
        <v>1998.3</v>
      </c>
      <c r="I618" s="178">
        <f>I619</f>
        <v>0.01999999999998181</v>
      </c>
      <c r="J618" s="351">
        <f t="shared" si="17"/>
        <v>0.01999999999998181</v>
      </c>
      <c r="K618" s="317"/>
    </row>
    <row r="619" spans="1:11" s="4" customFormat="1" ht="12.75">
      <c r="A619" s="63" t="s">
        <v>227</v>
      </c>
      <c r="B619" s="117" t="s">
        <v>652</v>
      </c>
      <c r="C619" s="117" t="s">
        <v>199</v>
      </c>
      <c r="D619" s="178">
        <f>D620</f>
        <v>1998.32</v>
      </c>
      <c r="E619" s="317"/>
      <c r="F619" s="317"/>
      <c r="G619" s="317"/>
      <c r="H619" s="178">
        <f>H620</f>
        <v>1998.3</v>
      </c>
      <c r="I619" s="178">
        <f>I620</f>
        <v>0.01999999999998181</v>
      </c>
      <c r="J619" s="351">
        <f t="shared" si="17"/>
        <v>0.01999999999998181</v>
      </c>
      <c r="K619" s="317"/>
    </row>
    <row r="620" spans="1:11" s="4" customFormat="1" ht="12.75">
      <c r="A620" s="64" t="s">
        <v>179</v>
      </c>
      <c r="B620" s="117" t="s">
        <v>652</v>
      </c>
      <c r="C620" s="117" t="s">
        <v>200</v>
      </c>
      <c r="D620" s="178">
        <v>1998.32</v>
      </c>
      <c r="E620" s="317"/>
      <c r="F620" s="317"/>
      <c r="G620" s="317"/>
      <c r="H620" s="178">
        <v>1998.3</v>
      </c>
      <c r="I620" s="178">
        <f>D620-H620</f>
        <v>0.01999999999998181</v>
      </c>
      <c r="J620" s="351">
        <f t="shared" si="17"/>
        <v>0.01999999999998181</v>
      </c>
      <c r="K620" s="317"/>
    </row>
    <row r="621" spans="1:11" s="4" customFormat="1" ht="25.5">
      <c r="A621" s="46" t="s">
        <v>655</v>
      </c>
      <c r="B621" s="117" t="s">
        <v>654</v>
      </c>
      <c r="C621" s="117"/>
      <c r="D621" s="178">
        <f>D622</f>
        <v>970.72</v>
      </c>
      <c r="E621" s="317"/>
      <c r="F621" s="317"/>
      <c r="G621" s="317"/>
      <c r="H621" s="178">
        <f>H622</f>
        <v>970.7</v>
      </c>
      <c r="I621" s="178">
        <f>I622</f>
        <v>0.01999999999998181</v>
      </c>
      <c r="J621" s="351">
        <f t="shared" si="17"/>
        <v>0.01999999999998181</v>
      </c>
      <c r="K621" s="317"/>
    </row>
    <row r="622" spans="1:11" s="4" customFormat="1" ht="12.75">
      <c r="A622" s="63" t="s">
        <v>227</v>
      </c>
      <c r="B622" s="117" t="s">
        <v>654</v>
      </c>
      <c r="C622" s="117" t="s">
        <v>199</v>
      </c>
      <c r="D622" s="178">
        <f>D623</f>
        <v>970.72</v>
      </c>
      <c r="E622" s="317"/>
      <c r="F622" s="317"/>
      <c r="G622" s="317"/>
      <c r="H622" s="178">
        <f>H623</f>
        <v>970.7</v>
      </c>
      <c r="I622" s="178">
        <f>I623</f>
        <v>0.01999999999998181</v>
      </c>
      <c r="J622" s="351">
        <f t="shared" si="17"/>
        <v>0.01999999999998181</v>
      </c>
      <c r="K622" s="317"/>
    </row>
    <row r="623" spans="1:11" s="4" customFormat="1" ht="12.75">
      <c r="A623" s="64" t="s">
        <v>179</v>
      </c>
      <c r="B623" s="117" t="s">
        <v>654</v>
      </c>
      <c r="C623" s="117" t="s">
        <v>200</v>
      </c>
      <c r="D623" s="178">
        <v>970.72</v>
      </c>
      <c r="E623" s="317"/>
      <c r="F623" s="317"/>
      <c r="G623" s="317"/>
      <c r="H623" s="178">
        <v>970.7</v>
      </c>
      <c r="I623" s="178">
        <f>D623-H623</f>
        <v>0.01999999999998181</v>
      </c>
      <c r="J623" s="351">
        <f t="shared" si="17"/>
        <v>0.01999999999998181</v>
      </c>
      <c r="K623" s="317"/>
    </row>
    <row r="624" spans="1:11" s="4" customFormat="1" ht="25.5">
      <c r="A624" s="46" t="s">
        <v>657</v>
      </c>
      <c r="B624" s="117" t="s">
        <v>656</v>
      </c>
      <c r="C624" s="117"/>
      <c r="D624" s="178">
        <f>D625</f>
        <v>2997.1</v>
      </c>
      <c r="E624" s="317"/>
      <c r="F624" s="317"/>
      <c r="G624" s="317"/>
      <c r="H624" s="178">
        <f>H625</f>
        <v>2997.1</v>
      </c>
      <c r="I624" s="178">
        <f>I625</f>
        <v>0</v>
      </c>
      <c r="J624" s="351">
        <f t="shared" si="17"/>
        <v>0</v>
      </c>
      <c r="K624" s="317"/>
    </row>
    <row r="625" spans="1:11" s="4" customFormat="1" ht="12.75">
      <c r="A625" s="63" t="s">
        <v>227</v>
      </c>
      <c r="B625" s="117" t="s">
        <v>656</v>
      </c>
      <c r="C625" s="117" t="s">
        <v>199</v>
      </c>
      <c r="D625" s="178">
        <f>D626</f>
        <v>2997.1</v>
      </c>
      <c r="E625" s="317"/>
      <c r="F625" s="317"/>
      <c r="G625" s="317"/>
      <c r="H625" s="178">
        <f>H626</f>
        <v>2997.1</v>
      </c>
      <c r="I625" s="178">
        <f>I626</f>
        <v>0</v>
      </c>
      <c r="J625" s="351">
        <f t="shared" si="17"/>
        <v>0</v>
      </c>
      <c r="K625" s="317"/>
    </row>
    <row r="626" spans="1:11" s="4" customFormat="1" ht="12.75">
      <c r="A626" s="64" t="s">
        <v>179</v>
      </c>
      <c r="B626" s="117" t="s">
        <v>656</v>
      </c>
      <c r="C626" s="117" t="s">
        <v>200</v>
      </c>
      <c r="D626" s="178">
        <v>2997.1</v>
      </c>
      <c r="E626" s="317"/>
      <c r="F626" s="317"/>
      <c r="G626" s="317"/>
      <c r="H626" s="178">
        <v>2997.1</v>
      </c>
      <c r="I626" s="178">
        <f>D626-H626</f>
        <v>0</v>
      </c>
      <c r="J626" s="351">
        <f t="shared" si="17"/>
        <v>0</v>
      </c>
      <c r="K626" s="317"/>
    </row>
    <row r="627" spans="1:11" s="1" customFormat="1" ht="12.75">
      <c r="A627" s="46" t="s">
        <v>280</v>
      </c>
      <c r="B627" s="117" t="s">
        <v>282</v>
      </c>
      <c r="C627" s="117"/>
      <c r="D627" s="178">
        <f>D628</f>
        <v>600</v>
      </c>
      <c r="E627" s="316"/>
      <c r="F627" s="316"/>
      <c r="G627" s="316"/>
      <c r="H627" s="178">
        <f>H628</f>
        <v>600</v>
      </c>
      <c r="I627" s="178">
        <f>I628</f>
        <v>0</v>
      </c>
      <c r="J627" s="351">
        <f t="shared" si="17"/>
        <v>0</v>
      </c>
      <c r="K627" s="316"/>
    </row>
    <row r="628" spans="1:11" s="4" customFormat="1" ht="12.75">
      <c r="A628" s="60" t="s">
        <v>226</v>
      </c>
      <c r="B628" s="117" t="s">
        <v>282</v>
      </c>
      <c r="C628" s="117" t="s">
        <v>188</v>
      </c>
      <c r="D628" s="178">
        <f>D629</f>
        <v>600</v>
      </c>
      <c r="E628" s="317"/>
      <c r="F628" s="317"/>
      <c r="G628" s="317"/>
      <c r="H628" s="178">
        <f>H629</f>
        <v>600</v>
      </c>
      <c r="I628" s="178">
        <f>I629</f>
        <v>0</v>
      </c>
      <c r="J628" s="351">
        <f t="shared" si="17"/>
        <v>0</v>
      </c>
      <c r="K628" s="317"/>
    </row>
    <row r="629" spans="1:11" s="4" customFormat="1" ht="12.75">
      <c r="A629" s="60" t="s">
        <v>189</v>
      </c>
      <c r="B629" s="117" t="s">
        <v>282</v>
      </c>
      <c r="C629" s="117" t="s">
        <v>187</v>
      </c>
      <c r="D629" s="178">
        <v>600</v>
      </c>
      <c r="E629" s="317"/>
      <c r="F629" s="317"/>
      <c r="G629" s="317"/>
      <c r="H629" s="178">
        <v>600</v>
      </c>
      <c r="I629" s="178">
        <f>D629-H629</f>
        <v>0</v>
      </c>
      <c r="J629" s="351">
        <f t="shared" si="17"/>
        <v>0</v>
      </c>
      <c r="K629" s="317"/>
    </row>
    <row r="630" spans="1:11" s="4" customFormat="1" ht="12.75">
      <c r="A630" s="128" t="s">
        <v>469</v>
      </c>
      <c r="B630" s="127" t="s">
        <v>236</v>
      </c>
      <c r="C630" s="134"/>
      <c r="D630" s="193">
        <f>D631+D638</f>
        <v>4214.245</v>
      </c>
      <c r="E630" s="317"/>
      <c r="F630" s="317"/>
      <c r="G630" s="317"/>
      <c r="H630" s="193">
        <f>H631+H638</f>
        <v>4214.2</v>
      </c>
      <c r="I630" s="193">
        <f>I631+I638</f>
        <v>0.04500000000007276</v>
      </c>
      <c r="J630" s="351">
        <f t="shared" si="17"/>
        <v>0.04500000000007276</v>
      </c>
      <c r="K630" s="317"/>
    </row>
    <row r="631" spans="1:11" s="4" customFormat="1" ht="12.75">
      <c r="A631" s="142" t="s">
        <v>201</v>
      </c>
      <c r="B631" s="116" t="s">
        <v>237</v>
      </c>
      <c r="C631" s="116"/>
      <c r="D631" s="184">
        <f>D632+D635</f>
        <v>3164.245</v>
      </c>
      <c r="E631" s="317"/>
      <c r="F631" s="317"/>
      <c r="G631" s="317"/>
      <c r="H631" s="184">
        <f>H632+H635</f>
        <v>3164.2</v>
      </c>
      <c r="I631" s="184">
        <f>I632+I635</f>
        <v>0.04500000000007276</v>
      </c>
      <c r="J631" s="351">
        <f t="shared" si="17"/>
        <v>0.04500000000007276</v>
      </c>
      <c r="K631" s="317"/>
    </row>
    <row r="632" spans="1:11" s="4" customFormat="1" ht="12.75">
      <c r="A632" s="64" t="s">
        <v>107</v>
      </c>
      <c r="B632" s="117" t="s">
        <v>238</v>
      </c>
      <c r="C632" s="117"/>
      <c r="D632" s="178">
        <f>D633</f>
        <v>182.5</v>
      </c>
      <c r="E632" s="317"/>
      <c r="F632" s="317"/>
      <c r="G632" s="317"/>
      <c r="H632" s="178">
        <f>H633</f>
        <v>182.5</v>
      </c>
      <c r="I632" s="178">
        <f>I633</f>
        <v>0</v>
      </c>
      <c r="J632" s="351">
        <f t="shared" si="17"/>
        <v>0</v>
      </c>
      <c r="K632" s="317"/>
    </row>
    <row r="633" spans="1:11" s="4" customFormat="1" ht="25.5">
      <c r="A633" s="64" t="s">
        <v>190</v>
      </c>
      <c r="B633" s="117" t="s">
        <v>238</v>
      </c>
      <c r="C633" s="117" t="s">
        <v>178</v>
      </c>
      <c r="D633" s="178">
        <f>D634</f>
        <v>182.5</v>
      </c>
      <c r="E633" s="317"/>
      <c r="F633" s="317"/>
      <c r="G633" s="317"/>
      <c r="H633" s="178">
        <f>H634</f>
        <v>182.5</v>
      </c>
      <c r="I633" s="178">
        <f>I634</f>
        <v>0</v>
      </c>
      <c r="J633" s="351">
        <f t="shared" si="17"/>
        <v>0</v>
      </c>
      <c r="K633" s="317"/>
    </row>
    <row r="634" spans="1:11" s="4" customFormat="1" ht="12.75">
      <c r="A634" s="64" t="s">
        <v>191</v>
      </c>
      <c r="B634" s="117" t="s">
        <v>238</v>
      </c>
      <c r="C634" s="117" t="s">
        <v>192</v>
      </c>
      <c r="D634" s="178">
        <v>182.5</v>
      </c>
      <c r="E634" s="317"/>
      <c r="F634" s="317"/>
      <c r="G634" s="317"/>
      <c r="H634" s="178">
        <v>182.5</v>
      </c>
      <c r="I634" s="178">
        <f>D634-H634</f>
        <v>0</v>
      </c>
      <c r="J634" s="351">
        <f t="shared" si="17"/>
        <v>0</v>
      </c>
      <c r="K634" s="317"/>
    </row>
    <row r="635" spans="1:11" s="4" customFormat="1" ht="38.25">
      <c r="A635" s="64" t="s">
        <v>468</v>
      </c>
      <c r="B635" s="117" t="s">
        <v>242</v>
      </c>
      <c r="C635" s="117"/>
      <c r="D635" s="178">
        <f>D636</f>
        <v>2981.745</v>
      </c>
      <c r="E635" s="317"/>
      <c r="F635" s="317"/>
      <c r="G635" s="317"/>
      <c r="H635" s="178">
        <f>H636</f>
        <v>2981.7</v>
      </c>
      <c r="I635" s="178">
        <f>I636</f>
        <v>0.04500000000007276</v>
      </c>
      <c r="J635" s="351">
        <f t="shared" si="17"/>
        <v>0.04500000000007276</v>
      </c>
      <c r="K635" s="317"/>
    </row>
    <row r="636" spans="1:11" s="4" customFormat="1" ht="25.5">
      <c r="A636" s="64" t="s">
        <v>190</v>
      </c>
      <c r="B636" s="117" t="s">
        <v>242</v>
      </c>
      <c r="C636" s="117" t="s">
        <v>178</v>
      </c>
      <c r="D636" s="178">
        <f>SUM(D637:D637)</f>
        <v>2981.745</v>
      </c>
      <c r="E636" s="317"/>
      <c r="F636" s="317"/>
      <c r="G636" s="317"/>
      <c r="H636" s="178">
        <f>SUM(H637:H637)</f>
        <v>2981.7</v>
      </c>
      <c r="I636" s="178">
        <f>SUM(I637:I637)</f>
        <v>0.04500000000007276</v>
      </c>
      <c r="J636" s="351">
        <f t="shared" si="17"/>
        <v>0.04500000000007276</v>
      </c>
      <c r="K636" s="317"/>
    </row>
    <row r="637" spans="1:11" s="4" customFormat="1" ht="12.75">
      <c r="A637" s="64" t="s">
        <v>191</v>
      </c>
      <c r="B637" s="117" t="s">
        <v>242</v>
      </c>
      <c r="C637" s="117" t="s">
        <v>192</v>
      </c>
      <c r="D637" s="178">
        <v>2981.745</v>
      </c>
      <c r="E637" s="317"/>
      <c r="F637" s="317"/>
      <c r="G637" s="317"/>
      <c r="H637" s="178">
        <v>2981.7</v>
      </c>
      <c r="I637" s="178">
        <f>D637-H637</f>
        <v>0.04500000000007276</v>
      </c>
      <c r="J637" s="351">
        <f t="shared" si="17"/>
        <v>0.04500000000007276</v>
      </c>
      <c r="K637" s="317"/>
    </row>
    <row r="638" spans="1:11" s="4" customFormat="1" ht="25.5">
      <c r="A638" s="142" t="s">
        <v>551</v>
      </c>
      <c r="B638" s="116" t="s">
        <v>239</v>
      </c>
      <c r="C638" s="116"/>
      <c r="D638" s="184">
        <f>D639+D642+D645</f>
        <v>1050</v>
      </c>
      <c r="E638" s="317"/>
      <c r="F638" s="317"/>
      <c r="G638" s="317"/>
      <c r="H638" s="184">
        <f>H639+H642+H645</f>
        <v>1050</v>
      </c>
      <c r="I638" s="184">
        <f>I639+I642+I645</f>
        <v>0</v>
      </c>
      <c r="J638" s="351">
        <f t="shared" si="17"/>
        <v>0</v>
      </c>
      <c r="K638" s="317"/>
    </row>
    <row r="639" spans="1:11" s="4" customFormat="1" ht="12.75">
      <c r="A639" s="64" t="s">
        <v>266</v>
      </c>
      <c r="B639" s="117" t="s">
        <v>284</v>
      </c>
      <c r="C639" s="117"/>
      <c r="D639" s="178">
        <f>D640</f>
        <v>500</v>
      </c>
      <c r="E639" s="317"/>
      <c r="F639" s="317"/>
      <c r="G639" s="317"/>
      <c r="H639" s="178">
        <f>H640</f>
        <v>500</v>
      </c>
      <c r="I639" s="178">
        <f>I640</f>
        <v>0</v>
      </c>
      <c r="J639" s="351">
        <f t="shared" si="17"/>
        <v>0</v>
      </c>
      <c r="K639" s="317"/>
    </row>
    <row r="640" spans="1:11" s="4" customFormat="1" ht="25.5">
      <c r="A640" s="64" t="s">
        <v>190</v>
      </c>
      <c r="B640" s="117" t="s">
        <v>284</v>
      </c>
      <c r="C640" s="117" t="s">
        <v>178</v>
      </c>
      <c r="D640" s="178">
        <f>D641</f>
        <v>500</v>
      </c>
      <c r="E640" s="317"/>
      <c r="F640" s="317"/>
      <c r="G640" s="317"/>
      <c r="H640" s="178">
        <f>H641</f>
        <v>500</v>
      </c>
      <c r="I640" s="178">
        <f>I641</f>
        <v>0</v>
      </c>
      <c r="J640" s="351">
        <f t="shared" si="17"/>
        <v>0</v>
      </c>
      <c r="K640" s="317"/>
    </row>
    <row r="641" spans="1:11" s="4" customFormat="1" ht="12.75">
      <c r="A641" s="64" t="s">
        <v>197</v>
      </c>
      <c r="B641" s="117" t="s">
        <v>284</v>
      </c>
      <c r="C641" s="117" t="s">
        <v>196</v>
      </c>
      <c r="D641" s="178">
        <v>500</v>
      </c>
      <c r="E641" s="317"/>
      <c r="F641" s="317"/>
      <c r="G641" s="317"/>
      <c r="H641" s="178">
        <v>500</v>
      </c>
      <c r="I641" s="178">
        <f>D641-H641</f>
        <v>0</v>
      </c>
      <c r="J641" s="351">
        <f t="shared" si="17"/>
        <v>0</v>
      </c>
      <c r="K641" s="317"/>
    </row>
    <row r="642" spans="1:11" s="4" customFormat="1" ht="12.75">
      <c r="A642" s="64" t="s">
        <v>268</v>
      </c>
      <c r="B642" s="117" t="s">
        <v>283</v>
      </c>
      <c r="C642" s="117"/>
      <c r="D642" s="178">
        <f>D643</f>
        <v>450</v>
      </c>
      <c r="E642" s="317"/>
      <c r="F642" s="317"/>
      <c r="G642" s="317"/>
      <c r="H642" s="178">
        <f>H643</f>
        <v>450</v>
      </c>
      <c r="I642" s="178">
        <f>I643</f>
        <v>0</v>
      </c>
      <c r="J642" s="351">
        <f t="shared" si="17"/>
        <v>0</v>
      </c>
      <c r="K642" s="317"/>
    </row>
    <row r="643" spans="1:11" s="1" customFormat="1" ht="25.5">
      <c r="A643" s="64" t="s">
        <v>190</v>
      </c>
      <c r="B643" s="117" t="s">
        <v>283</v>
      </c>
      <c r="C643" s="117" t="s">
        <v>178</v>
      </c>
      <c r="D643" s="178">
        <f>D644</f>
        <v>450</v>
      </c>
      <c r="E643" s="316"/>
      <c r="F643" s="316"/>
      <c r="G643" s="316"/>
      <c r="H643" s="178">
        <f>H644</f>
        <v>450</v>
      </c>
      <c r="I643" s="178">
        <f>I644</f>
        <v>0</v>
      </c>
      <c r="J643" s="351">
        <f t="shared" si="17"/>
        <v>0</v>
      </c>
      <c r="K643" s="316"/>
    </row>
    <row r="644" spans="1:11" s="1" customFormat="1" ht="12.75">
      <c r="A644" s="64" t="s">
        <v>197</v>
      </c>
      <c r="B644" s="117" t="s">
        <v>283</v>
      </c>
      <c r="C644" s="117" t="s">
        <v>196</v>
      </c>
      <c r="D644" s="178">
        <v>450</v>
      </c>
      <c r="E644" s="351"/>
      <c r="F644" s="316"/>
      <c r="G644" s="316"/>
      <c r="H644" s="178">
        <v>450</v>
      </c>
      <c r="I644" s="178">
        <f>D644-H644</f>
        <v>0</v>
      </c>
      <c r="J644" s="351">
        <f t="shared" si="17"/>
        <v>0</v>
      </c>
      <c r="K644" s="316"/>
    </row>
    <row r="645" spans="1:11" s="1" customFormat="1" ht="12.75">
      <c r="A645" s="64" t="s">
        <v>269</v>
      </c>
      <c r="B645" s="117" t="s">
        <v>360</v>
      </c>
      <c r="C645" s="117"/>
      <c r="D645" s="178">
        <f>D646</f>
        <v>100</v>
      </c>
      <c r="E645" s="316"/>
      <c r="F645" s="316"/>
      <c r="G645" s="316"/>
      <c r="H645" s="178">
        <f>H646</f>
        <v>100</v>
      </c>
      <c r="I645" s="178">
        <f>I646</f>
        <v>0</v>
      </c>
      <c r="J645" s="351">
        <f t="shared" si="17"/>
        <v>0</v>
      </c>
      <c r="K645" s="316"/>
    </row>
    <row r="646" spans="1:11" s="1" customFormat="1" ht="25.5">
      <c r="A646" s="64" t="s">
        <v>190</v>
      </c>
      <c r="B646" s="117" t="s">
        <v>360</v>
      </c>
      <c r="C646" s="117" t="s">
        <v>178</v>
      </c>
      <c r="D646" s="178">
        <f>D647</f>
        <v>100</v>
      </c>
      <c r="E646" s="316"/>
      <c r="F646" s="316"/>
      <c r="G646" s="316"/>
      <c r="H646" s="178">
        <f>H647</f>
        <v>100</v>
      </c>
      <c r="I646" s="178">
        <f>I647</f>
        <v>0</v>
      </c>
      <c r="J646" s="351">
        <f aca="true" t="shared" si="20" ref="J646:J709">D646-H646</f>
        <v>0</v>
      </c>
      <c r="K646" s="316"/>
    </row>
    <row r="647" spans="1:11" s="1" customFormat="1" ht="12.75">
      <c r="A647" s="64" t="s">
        <v>197</v>
      </c>
      <c r="B647" s="117" t="s">
        <v>360</v>
      </c>
      <c r="C647" s="117" t="s">
        <v>196</v>
      </c>
      <c r="D647" s="178">
        <v>100</v>
      </c>
      <c r="E647" s="316"/>
      <c r="F647" s="316"/>
      <c r="G647" s="316"/>
      <c r="H647" s="178">
        <v>100</v>
      </c>
      <c r="I647" s="178">
        <f>D647-H647</f>
        <v>0</v>
      </c>
      <c r="J647" s="351">
        <f t="shared" si="20"/>
        <v>0</v>
      </c>
      <c r="K647" s="316"/>
    </row>
    <row r="648" spans="1:11" s="1" customFormat="1" ht="25.5">
      <c r="A648" s="109" t="s">
        <v>461</v>
      </c>
      <c r="B648" s="133" t="s">
        <v>41</v>
      </c>
      <c r="C648" s="127"/>
      <c r="D648" s="177">
        <f>D656+D661+D674+D679+D684+D687+D671+D649+D666</f>
        <v>77271.40000000001</v>
      </c>
      <c r="E648" s="316"/>
      <c r="F648" s="357"/>
      <c r="G648" s="316"/>
      <c r="H648" s="177">
        <f>H656+H661+H674+H679+H684+H687+H671+H649+H666</f>
        <v>77271.35000000002</v>
      </c>
      <c r="I648" s="177">
        <f>I656+I661+I674+I679+I684+I687+I671+I649+I666</f>
        <v>0.049999999999954525</v>
      </c>
      <c r="J648" s="351">
        <f t="shared" si="20"/>
        <v>0.04999999998835847</v>
      </c>
      <c r="K648" s="316"/>
    </row>
    <row r="649" spans="1:11" s="1" customFormat="1" ht="12.75">
      <c r="A649" s="50" t="s">
        <v>106</v>
      </c>
      <c r="B649" s="121" t="s">
        <v>253</v>
      </c>
      <c r="C649" s="117"/>
      <c r="D649" s="178">
        <f>D650+D652+D654</f>
        <v>23305</v>
      </c>
      <c r="E649" s="316"/>
      <c r="F649" s="316"/>
      <c r="G649" s="316"/>
      <c r="H649" s="178">
        <f>H650+H652+H654</f>
        <v>23305</v>
      </c>
      <c r="I649" s="178">
        <f>I650+I652+I654</f>
        <v>0</v>
      </c>
      <c r="J649" s="351">
        <f t="shared" si="20"/>
        <v>0</v>
      </c>
      <c r="K649" s="316"/>
    </row>
    <row r="650" spans="1:11" s="1" customFormat="1" ht="38.25">
      <c r="A650" s="60" t="s">
        <v>116</v>
      </c>
      <c r="B650" s="121" t="s">
        <v>253</v>
      </c>
      <c r="C650" s="117" t="s">
        <v>198</v>
      </c>
      <c r="D650" s="178">
        <f>D651</f>
        <v>8281.3</v>
      </c>
      <c r="E650" s="316"/>
      <c r="F650" s="316"/>
      <c r="G650" s="316"/>
      <c r="H650" s="178">
        <f>H651</f>
        <v>8281.3</v>
      </c>
      <c r="I650" s="178">
        <f>I651</f>
        <v>0</v>
      </c>
      <c r="J650" s="351">
        <f t="shared" si="20"/>
        <v>0</v>
      </c>
      <c r="K650" s="316"/>
    </row>
    <row r="651" spans="1:11" s="1" customFormat="1" ht="12.75">
      <c r="A651" s="60" t="s">
        <v>255</v>
      </c>
      <c r="B651" s="121" t="s">
        <v>253</v>
      </c>
      <c r="C651" s="117" t="s">
        <v>254</v>
      </c>
      <c r="D651" s="178">
        <f>7747.3+534</f>
        <v>8281.3</v>
      </c>
      <c r="E651" s="316"/>
      <c r="F651" s="316"/>
      <c r="G651" s="316"/>
      <c r="H651" s="178">
        <f>7747.3+534</f>
        <v>8281.3</v>
      </c>
      <c r="I651" s="178">
        <f>D651-H651</f>
        <v>0</v>
      </c>
      <c r="J651" s="351">
        <f t="shared" si="20"/>
        <v>0</v>
      </c>
      <c r="K651" s="316"/>
    </row>
    <row r="652" spans="1:11" s="1" customFormat="1" ht="12.75">
      <c r="A652" s="60" t="s">
        <v>226</v>
      </c>
      <c r="B652" s="121" t="s">
        <v>253</v>
      </c>
      <c r="C652" s="117" t="s">
        <v>188</v>
      </c>
      <c r="D652" s="178">
        <f>D653</f>
        <v>14772.7</v>
      </c>
      <c r="E652" s="316"/>
      <c r="F652" s="316"/>
      <c r="G652" s="316"/>
      <c r="H652" s="178">
        <f>H653</f>
        <v>14772.7</v>
      </c>
      <c r="I652" s="178">
        <f>I653</f>
        <v>0</v>
      </c>
      <c r="J652" s="351">
        <f t="shared" si="20"/>
        <v>0</v>
      </c>
      <c r="K652" s="316"/>
    </row>
    <row r="653" spans="1:11" s="1" customFormat="1" ht="12.75">
      <c r="A653" s="60" t="s">
        <v>189</v>
      </c>
      <c r="B653" s="121" t="s">
        <v>253</v>
      </c>
      <c r="C653" s="117" t="s">
        <v>187</v>
      </c>
      <c r="D653" s="178">
        <f>14525.1+247.6</f>
        <v>14772.7</v>
      </c>
      <c r="E653" s="316"/>
      <c r="F653" s="316"/>
      <c r="G653" s="316"/>
      <c r="H653" s="178">
        <f>14525.1+247.6</f>
        <v>14772.7</v>
      </c>
      <c r="I653" s="178">
        <f>D653-H653</f>
        <v>0</v>
      </c>
      <c r="J653" s="351">
        <f t="shared" si="20"/>
        <v>0</v>
      </c>
      <c r="K653" s="316"/>
    </row>
    <row r="654" spans="1:11" s="1" customFormat="1" ht="12.75">
      <c r="A654" s="63" t="s">
        <v>90</v>
      </c>
      <c r="B654" s="121" t="s">
        <v>253</v>
      </c>
      <c r="C654" s="117" t="s">
        <v>87</v>
      </c>
      <c r="D654" s="178">
        <f>D655</f>
        <v>251</v>
      </c>
      <c r="E654" s="316"/>
      <c r="F654" s="316"/>
      <c r="G654" s="316"/>
      <c r="H654" s="178">
        <f>H655</f>
        <v>251</v>
      </c>
      <c r="I654" s="178">
        <f>I655</f>
        <v>0</v>
      </c>
      <c r="J654" s="351">
        <f t="shared" si="20"/>
        <v>0</v>
      </c>
      <c r="K654" s="316"/>
    </row>
    <row r="655" spans="1:11" s="1" customFormat="1" ht="12.75">
      <c r="A655" s="63" t="s">
        <v>209</v>
      </c>
      <c r="B655" s="121" t="s">
        <v>253</v>
      </c>
      <c r="C655" s="117" t="s">
        <v>210</v>
      </c>
      <c r="D655" s="178">
        <v>251</v>
      </c>
      <c r="E655" s="316"/>
      <c r="F655" s="316"/>
      <c r="G655" s="316"/>
      <c r="H655" s="178">
        <v>251</v>
      </c>
      <c r="I655" s="178">
        <f>D655-H655</f>
        <v>0</v>
      </c>
      <c r="J655" s="351">
        <f t="shared" si="20"/>
        <v>0</v>
      </c>
      <c r="K655" s="316"/>
    </row>
    <row r="656" spans="1:11" s="1" customFormat="1" ht="12.75">
      <c r="A656" s="50" t="s">
        <v>115</v>
      </c>
      <c r="B656" s="121" t="s">
        <v>42</v>
      </c>
      <c r="C656" s="117"/>
      <c r="D656" s="178">
        <f>D657+D659</f>
        <v>47945.200000000004</v>
      </c>
      <c r="E656" s="316"/>
      <c r="F656" s="316"/>
      <c r="G656" s="316"/>
      <c r="H656" s="178">
        <f>H657+H659</f>
        <v>47945.200000000004</v>
      </c>
      <c r="I656" s="178">
        <f>I657+I659</f>
        <v>0</v>
      </c>
      <c r="J656" s="351">
        <f t="shared" si="20"/>
        <v>0</v>
      </c>
      <c r="K656" s="316"/>
    </row>
    <row r="657" spans="1:11" s="1" customFormat="1" ht="38.25">
      <c r="A657" s="60" t="s">
        <v>116</v>
      </c>
      <c r="B657" s="121" t="s">
        <v>42</v>
      </c>
      <c r="C657" s="117" t="s">
        <v>198</v>
      </c>
      <c r="D657" s="178">
        <f>D658</f>
        <v>47187.9</v>
      </c>
      <c r="E657" s="316"/>
      <c r="F657" s="316"/>
      <c r="G657" s="316"/>
      <c r="H657" s="178">
        <f>H658</f>
        <v>47187.9</v>
      </c>
      <c r="I657" s="178">
        <f>I658</f>
        <v>0</v>
      </c>
      <c r="J657" s="351">
        <f t="shared" si="20"/>
        <v>0</v>
      </c>
      <c r="K657" s="316"/>
    </row>
    <row r="658" spans="1:11" s="1" customFormat="1" ht="12.75">
      <c r="A658" s="63" t="s">
        <v>193</v>
      </c>
      <c r="B658" s="121" t="s">
        <v>42</v>
      </c>
      <c r="C658" s="117" t="s">
        <v>194</v>
      </c>
      <c r="D658" s="178">
        <v>47187.9</v>
      </c>
      <c r="E658" s="316"/>
      <c r="F658" s="316"/>
      <c r="G658" s="316"/>
      <c r="H658" s="178">
        <f>47570.6-382.7</f>
        <v>47187.9</v>
      </c>
      <c r="I658" s="178">
        <f>D658-H658</f>
        <v>0</v>
      </c>
      <c r="J658" s="351">
        <f t="shared" si="20"/>
        <v>0</v>
      </c>
      <c r="K658" s="316"/>
    </row>
    <row r="659" spans="1:11" s="1" customFormat="1" ht="12.75">
      <c r="A659" s="60" t="s">
        <v>226</v>
      </c>
      <c r="B659" s="121" t="s">
        <v>42</v>
      </c>
      <c r="C659" s="117" t="s">
        <v>188</v>
      </c>
      <c r="D659" s="178">
        <f>D660</f>
        <v>757.3</v>
      </c>
      <c r="E659" s="316"/>
      <c r="F659" s="316"/>
      <c r="G659" s="316"/>
      <c r="H659" s="178">
        <f>H660</f>
        <v>757.3</v>
      </c>
      <c r="I659" s="178">
        <f>I660</f>
        <v>0</v>
      </c>
      <c r="J659" s="351">
        <f t="shared" si="20"/>
        <v>0</v>
      </c>
      <c r="K659" s="316"/>
    </row>
    <row r="660" spans="1:11" s="6" customFormat="1" ht="12.75">
      <c r="A660" s="60" t="s">
        <v>189</v>
      </c>
      <c r="B660" s="121" t="s">
        <v>42</v>
      </c>
      <c r="C660" s="117" t="s">
        <v>187</v>
      </c>
      <c r="D660" s="178">
        <v>757.3</v>
      </c>
      <c r="E660" s="322"/>
      <c r="F660" s="322"/>
      <c r="G660" s="322"/>
      <c r="H660" s="178">
        <v>757.3</v>
      </c>
      <c r="I660" s="178">
        <f>D660-H660</f>
        <v>0</v>
      </c>
      <c r="J660" s="351">
        <f t="shared" si="20"/>
        <v>0</v>
      </c>
      <c r="K660" s="322"/>
    </row>
    <row r="661" spans="1:11" s="6" customFormat="1" ht="25.5">
      <c r="A661" s="46" t="s">
        <v>92</v>
      </c>
      <c r="B661" s="117" t="s">
        <v>53</v>
      </c>
      <c r="C661" s="117"/>
      <c r="D661" s="178">
        <f>SUM(D662,D664)</f>
        <v>2015</v>
      </c>
      <c r="E661" s="322"/>
      <c r="F661" s="322"/>
      <c r="G661" s="322"/>
      <c r="H661" s="178">
        <f>SUM(H662,H664)</f>
        <v>2015</v>
      </c>
      <c r="I661" s="178">
        <f>SUM(I662,I664)</f>
        <v>0</v>
      </c>
      <c r="J661" s="351">
        <f t="shared" si="20"/>
        <v>0</v>
      </c>
      <c r="K661" s="322"/>
    </row>
    <row r="662" spans="1:11" s="6" customFormat="1" ht="12.75">
      <c r="A662" s="60" t="s">
        <v>226</v>
      </c>
      <c r="B662" s="117" t="s">
        <v>53</v>
      </c>
      <c r="C662" s="117" t="s">
        <v>188</v>
      </c>
      <c r="D662" s="178">
        <f>D663</f>
        <v>1980</v>
      </c>
      <c r="E662" s="322"/>
      <c r="F662" s="322"/>
      <c r="G662" s="322"/>
      <c r="H662" s="178">
        <f>H663</f>
        <v>1980</v>
      </c>
      <c r="I662" s="178">
        <f>I663</f>
        <v>0</v>
      </c>
      <c r="J662" s="351">
        <f t="shared" si="20"/>
        <v>0</v>
      </c>
      <c r="K662" s="322"/>
    </row>
    <row r="663" spans="1:11" s="6" customFormat="1" ht="12.75">
      <c r="A663" s="60" t="s">
        <v>189</v>
      </c>
      <c r="B663" s="117" t="s">
        <v>53</v>
      </c>
      <c r="C663" s="117" t="s">
        <v>187</v>
      </c>
      <c r="D663" s="178">
        <v>1980</v>
      </c>
      <c r="E663" s="322"/>
      <c r="F663" s="322"/>
      <c r="G663" s="322"/>
      <c r="H663" s="178">
        <v>1980</v>
      </c>
      <c r="I663" s="178">
        <f>D663-H663</f>
        <v>0</v>
      </c>
      <c r="J663" s="351">
        <f t="shared" si="20"/>
        <v>0</v>
      </c>
      <c r="K663" s="322"/>
    </row>
    <row r="664" spans="1:11" s="1" customFormat="1" ht="12.75">
      <c r="A664" s="63" t="s">
        <v>90</v>
      </c>
      <c r="B664" s="117" t="s">
        <v>53</v>
      </c>
      <c r="C664" s="117" t="s">
        <v>87</v>
      </c>
      <c r="D664" s="178">
        <f>D665</f>
        <v>35</v>
      </c>
      <c r="E664" s="316"/>
      <c r="F664" s="316"/>
      <c r="G664" s="316"/>
      <c r="H664" s="178">
        <f>H665</f>
        <v>35</v>
      </c>
      <c r="I664" s="178">
        <f>I665</f>
        <v>0</v>
      </c>
      <c r="J664" s="351">
        <f t="shared" si="20"/>
        <v>0</v>
      </c>
      <c r="K664" s="316"/>
    </row>
    <row r="665" spans="1:11" s="1" customFormat="1" ht="12.75">
      <c r="A665" s="63" t="s">
        <v>209</v>
      </c>
      <c r="B665" s="117" t="s">
        <v>53</v>
      </c>
      <c r="C665" s="117" t="s">
        <v>210</v>
      </c>
      <c r="D665" s="178">
        <v>35</v>
      </c>
      <c r="E665" s="316"/>
      <c r="F665" s="316"/>
      <c r="G665" s="316"/>
      <c r="H665" s="178">
        <v>35</v>
      </c>
      <c r="I665" s="178">
        <f>D665-H665</f>
        <v>0</v>
      </c>
      <c r="J665" s="351">
        <f t="shared" si="20"/>
        <v>0</v>
      </c>
      <c r="K665" s="316"/>
    </row>
    <row r="666" spans="1:11" s="1" customFormat="1" ht="25.5">
      <c r="A666" s="63" t="s">
        <v>100</v>
      </c>
      <c r="B666" s="114" t="s">
        <v>471</v>
      </c>
      <c r="C666" s="117"/>
      <c r="D666" s="178">
        <f>D667+D669</f>
        <v>664.05</v>
      </c>
      <c r="E666" s="316"/>
      <c r="F666" s="316"/>
      <c r="G666" s="316"/>
      <c r="H666" s="178">
        <f>H667+H669</f>
        <v>664.05</v>
      </c>
      <c r="I666" s="178">
        <f>I667+I669</f>
        <v>0</v>
      </c>
      <c r="J666" s="351">
        <f t="shared" si="20"/>
        <v>0</v>
      </c>
      <c r="K666" s="316"/>
    </row>
    <row r="667" spans="1:11" s="1" customFormat="1" ht="38.25">
      <c r="A667" s="60" t="s">
        <v>116</v>
      </c>
      <c r="B667" s="114" t="s">
        <v>471</v>
      </c>
      <c r="C667" s="117" t="s">
        <v>198</v>
      </c>
      <c r="D667" s="178">
        <f>D668</f>
        <v>613.55</v>
      </c>
      <c r="E667" s="316"/>
      <c r="F667" s="316"/>
      <c r="G667" s="316"/>
      <c r="H667" s="178">
        <f>H668</f>
        <v>613.55</v>
      </c>
      <c r="I667" s="178">
        <f>I668</f>
        <v>0</v>
      </c>
      <c r="J667" s="351">
        <f t="shared" si="20"/>
        <v>0</v>
      </c>
      <c r="K667" s="316"/>
    </row>
    <row r="668" spans="1:11" s="1" customFormat="1" ht="12.75">
      <c r="A668" s="63" t="s">
        <v>193</v>
      </c>
      <c r="B668" s="114" t="s">
        <v>471</v>
      </c>
      <c r="C668" s="117" t="s">
        <v>194</v>
      </c>
      <c r="D668" s="178">
        <v>613.55</v>
      </c>
      <c r="E668" s="316"/>
      <c r="F668" s="316"/>
      <c r="G668" s="316"/>
      <c r="H668" s="178">
        <f>454.15+159.4</f>
        <v>613.55</v>
      </c>
      <c r="I668" s="178">
        <f>D668-H668</f>
        <v>0</v>
      </c>
      <c r="J668" s="351">
        <f t="shared" si="20"/>
        <v>0</v>
      </c>
      <c r="K668" s="316"/>
    </row>
    <row r="669" spans="1:11" s="1" customFormat="1" ht="12.75">
      <c r="A669" s="60" t="s">
        <v>226</v>
      </c>
      <c r="B669" s="114" t="s">
        <v>471</v>
      </c>
      <c r="C669" s="117" t="s">
        <v>188</v>
      </c>
      <c r="D669" s="178">
        <f>D670</f>
        <v>50.5</v>
      </c>
      <c r="E669" s="316"/>
      <c r="F669" s="316"/>
      <c r="G669" s="316"/>
      <c r="H669" s="178">
        <f>H670</f>
        <v>50.5</v>
      </c>
      <c r="I669" s="178">
        <f>I670</f>
        <v>0</v>
      </c>
      <c r="J669" s="351">
        <f t="shared" si="20"/>
        <v>0</v>
      </c>
      <c r="K669" s="316"/>
    </row>
    <row r="670" spans="1:11" s="1" customFormat="1" ht="12.75">
      <c r="A670" s="60" t="s">
        <v>189</v>
      </c>
      <c r="B670" s="114" t="s">
        <v>471</v>
      </c>
      <c r="C670" s="117" t="s">
        <v>187</v>
      </c>
      <c r="D670" s="178">
        <v>50.5</v>
      </c>
      <c r="E670" s="316"/>
      <c r="F670" s="316"/>
      <c r="G670" s="316"/>
      <c r="H670" s="178">
        <v>50.5</v>
      </c>
      <c r="I670" s="178">
        <f>D670-H670</f>
        <v>0</v>
      </c>
      <c r="J670" s="351">
        <f t="shared" si="20"/>
        <v>0</v>
      </c>
      <c r="K670" s="316"/>
    </row>
    <row r="671" spans="1:11" s="1" customFormat="1" ht="25.5">
      <c r="A671" s="74" t="s">
        <v>247</v>
      </c>
      <c r="B671" s="121" t="s">
        <v>248</v>
      </c>
      <c r="C671" s="117"/>
      <c r="D671" s="178">
        <f>D672</f>
        <v>1.3</v>
      </c>
      <c r="E671" s="316"/>
      <c r="F671" s="316"/>
      <c r="G671" s="316"/>
      <c r="H671" s="178">
        <f>H672</f>
        <v>1.3</v>
      </c>
      <c r="I671" s="178">
        <f>I672</f>
        <v>0</v>
      </c>
      <c r="J671" s="351">
        <f t="shared" si="20"/>
        <v>0</v>
      </c>
      <c r="K671" s="316"/>
    </row>
    <row r="672" spans="1:11" s="1" customFormat="1" ht="12.75">
      <c r="A672" s="60" t="s">
        <v>226</v>
      </c>
      <c r="B672" s="121" t="s">
        <v>248</v>
      </c>
      <c r="C672" s="117" t="s">
        <v>188</v>
      </c>
      <c r="D672" s="178">
        <f>D673</f>
        <v>1.3</v>
      </c>
      <c r="E672" s="316"/>
      <c r="F672" s="316"/>
      <c r="G672" s="316"/>
      <c r="H672" s="178">
        <f>H673</f>
        <v>1.3</v>
      </c>
      <c r="I672" s="178">
        <f>I673</f>
        <v>0</v>
      </c>
      <c r="J672" s="351">
        <f t="shared" si="20"/>
        <v>0</v>
      </c>
      <c r="K672" s="316"/>
    </row>
    <row r="673" spans="1:11" s="1" customFormat="1" ht="12.75">
      <c r="A673" s="60" t="s">
        <v>189</v>
      </c>
      <c r="B673" s="121" t="s">
        <v>248</v>
      </c>
      <c r="C673" s="117" t="s">
        <v>187</v>
      </c>
      <c r="D673" s="178">
        <v>1.3</v>
      </c>
      <c r="E673" s="316"/>
      <c r="F673" s="316"/>
      <c r="G673" s="316"/>
      <c r="H673" s="178">
        <v>1.3</v>
      </c>
      <c r="I673" s="178">
        <f>D673-H673</f>
        <v>0</v>
      </c>
      <c r="J673" s="351">
        <f t="shared" si="20"/>
        <v>0</v>
      </c>
      <c r="K673" s="316"/>
    </row>
    <row r="674" spans="1:11" s="1" customFormat="1" ht="25.5">
      <c r="A674" s="312" t="s">
        <v>119</v>
      </c>
      <c r="B674" s="121" t="s">
        <v>260</v>
      </c>
      <c r="C674" s="117"/>
      <c r="D674" s="178">
        <f>D675+D677</f>
        <v>1880.8</v>
      </c>
      <c r="E674" s="316"/>
      <c r="F674" s="316"/>
      <c r="G674" s="316"/>
      <c r="H674" s="178">
        <f>H675+H677</f>
        <v>1880.75</v>
      </c>
      <c r="I674" s="178">
        <f>I675+I677</f>
        <v>0.049999999999954525</v>
      </c>
      <c r="J674" s="351">
        <f t="shared" si="20"/>
        <v>0.049999999999954525</v>
      </c>
      <c r="K674" s="316"/>
    </row>
    <row r="675" spans="1:11" s="1" customFormat="1" ht="38.25">
      <c r="A675" s="60" t="s">
        <v>116</v>
      </c>
      <c r="B675" s="121" t="s">
        <v>260</v>
      </c>
      <c r="C675" s="117" t="s">
        <v>198</v>
      </c>
      <c r="D675" s="178">
        <f>D676</f>
        <v>1740.8</v>
      </c>
      <c r="E675" s="316"/>
      <c r="F675" s="316"/>
      <c r="G675" s="316"/>
      <c r="H675" s="178">
        <f>H676</f>
        <v>1740.75</v>
      </c>
      <c r="I675" s="178">
        <f>I676</f>
        <v>0.049999999999954525</v>
      </c>
      <c r="J675" s="351">
        <f t="shared" si="20"/>
        <v>0.049999999999954525</v>
      </c>
      <c r="K675" s="316"/>
    </row>
    <row r="676" spans="1:11" s="1" customFormat="1" ht="12.75">
      <c r="A676" s="63" t="s">
        <v>193</v>
      </c>
      <c r="B676" s="121" t="s">
        <v>260</v>
      </c>
      <c r="C676" s="117" t="s">
        <v>194</v>
      </c>
      <c r="D676" s="178">
        <v>1740.8</v>
      </c>
      <c r="E676" s="316"/>
      <c r="F676" s="316"/>
      <c r="G676" s="316"/>
      <c r="H676" s="178">
        <f>1601.15+139.6</f>
        <v>1740.75</v>
      </c>
      <c r="I676" s="178">
        <f>D676-H676</f>
        <v>0.049999999999954525</v>
      </c>
      <c r="J676" s="351">
        <f t="shared" si="20"/>
        <v>0.049999999999954525</v>
      </c>
      <c r="K676" s="316"/>
    </row>
    <row r="677" spans="1:11" s="1" customFormat="1" ht="12.75">
      <c r="A677" s="60" t="s">
        <v>226</v>
      </c>
      <c r="B677" s="121" t="s">
        <v>260</v>
      </c>
      <c r="C677" s="117" t="s">
        <v>188</v>
      </c>
      <c r="D677" s="178">
        <f>D678</f>
        <v>140</v>
      </c>
      <c r="E677" s="316"/>
      <c r="F677" s="316"/>
      <c r="G677" s="316"/>
      <c r="H677" s="178">
        <f>H678</f>
        <v>140</v>
      </c>
      <c r="I677" s="178">
        <f>I678</f>
        <v>0</v>
      </c>
      <c r="J677" s="351">
        <f t="shared" si="20"/>
        <v>0</v>
      </c>
      <c r="K677" s="316"/>
    </row>
    <row r="678" spans="1:11" s="1" customFormat="1" ht="12.75">
      <c r="A678" s="60" t="s">
        <v>189</v>
      </c>
      <c r="B678" s="121" t="s">
        <v>260</v>
      </c>
      <c r="C678" s="117" t="s">
        <v>187</v>
      </c>
      <c r="D678" s="178">
        <v>140</v>
      </c>
      <c r="E678" s="316"/>
      <c r="F678" s="316"/>
      <c r="G678" s="316"/>
      <c r="H678" s="178">
        <v>140</v>
      </c>
      <c r="I678" s="178">
        <f>D678-H678</f>
        <v>0</v>
      </c>
      <c r="J678" s="351">
        <f t="shared" si="20"/>
        <v>0</v>
      </c>
      <c r="K678" s="316"/>
    </row>
    <row r="679" spans="1:11" s="1" customFormat="1" ht="12.75">
      <c r="A679" s="46" t="s">
        <v>99</v>
      </c>
      <c r="B679" s="122" t="s">
        <v>340</v>
      </c>
      <c r="C679" s="117"/>
      <c r="D679" s="178">
        <f>D682+D680</f>
        <v>975.55</v>
      </c>
      <c r="E679" s="316"/>
      <c r="F679" s="316"/>
      <c r="G679" s="316"/>
      <c r="H679" s="178">
        <f>H682+H680</f>
        <v>975.55</v>
      </c>
      <c r="I679" s="178">
        <f>I682+I680</f>
        <v>0</v>
      </c>
      <c r="J679" s="351">
        <f t="shared" si="20"/>
        <v>0</v>
      </c>
      <c r="K679" s="316"/>
    </row>
    <row r="680" spans="1:11" s="1" customFormat="1" ht="38.25">
      <c r="A680" s="60" t="s">
        <v>116</v>
      </c>
      <c r="B680" s="122" t="s">
        <v>340</v>
      </c>
      <c r="C680" s="117" t="s">
        <v>198</v>
      </c>
      <c r="D680" s="178">
        <f>D681</f>
        <v>800.55</v>
      </c>
      <c r="E680" s="316"/>
      <c r="F680" s="316"/>
      <c r="G680" s="316"/>
      <c r="H680" s="178">
        <f>H681</f>
        <v>800.55</v>
      </c>
      <c r="I680" s="178">
        <f>I681</f>
        <v>0</v>
      </c>
      <c r="J680" s="351">
        <f t="shared" si="20"/>
        <v>0</v>
      </c>
      <c r="K680" s="316"/>
    </row>
    <row r="681" spans="1:11" s="1" customFormat="1" ht="12.75">
      <c r="A681" s="63" t="s">
        <v>193</v>
      </c>
      <c r="B681" s="122" t="s">
        <v>340</v>
      </c>
      <c r="C681" s="117" t="s">
        <v>194</v>
      </c>
      <c r="D681" s="178">
        <v>800.55</v>
      </c>
      <c r="E681" s="316"/>
      <c r="F681" s="316"/>
      <c r="G681" s="316"/>
      <c r="H681" s="178">
        <v>800.55</v>
      </c>
      <c r="I681" s="178">
        <f>D681-H681</f>
        <v>0</v>
      </c>
      <c r="J681" s="351">
        <f t="shared" si="20"/>
        <v>0</v>
      </c>
      <c r="K681" s="316"/>
    </row>
    <row r="682" spans="1:11" s="1" customFormat="1" ht="12.75">
      <c r="A682" s="60" t="s">
        <v>226</v>
      </c>
      <c r="B682" s="122" t="s">
        <v>340</v>
      </c>
      <c r="C682" s="117" t="s">
        <v>188</v>
      </c>
      <c r="D682" s="178">
        <f>D683</f>
        <v>175</v>
      </c>
      <c r="E682" s="316"/>
      <c r="F682" s="316"/>
      <c r="G682" s="316"/>
      <c r="H682" s="178">
        <f>H683</f>
        <v>175</v>
      </c>
      <c r="I682" s="178">
        <f>I683</f>
        <v>0</v>
      </c>
      <c r="J682" s="351">
        <f t="shared" si="20"/>
        <v>0</v>
      </c>
      <c r="K682" s="316"/>
    </row>
    <row r="683" spans="1:11" s="1" customFormat="1" ht="12.75">
      <c r="A683" s="60" t="s">
        <v>189</v>
      </c>
      <c r="B683" s="122" t="s">
        <v>340</v>
      </c>
      <c r="C683" s="117" t="s">
        <v>187</v>
      </c>
      <c r="D683" s="178">
        <v>175</v>
      </c>
      <c r="E683" s="316"/>
      <c r="F683" s="316"/>
      <c r="G683" s="316"/>
      <c r="H683" s="178">
        <v>175</v>
      </c>
      <c r="I683" s="178">
        <f>D683-H683</f>
        <v>0</v>
      </c>
      <c r="J683" s="351">
        <f t="shared" si="20"/>
        <v>0</v>
      </c>
      <c r="K683" s="316"/>
    </row>
    <row r="684" spans="1:11" s="1" customFormat="1" ht="38.25">
      <c r="A684" s="60" t="s">
        <v>120</v>
      </c>
      <c r="B684" s="122" t="s">
        <v>46</v>
      </c>
      <c r="C684" s="117"/>
      <c r="D684" s="178">
        <f>D685</f>
        <v>7</v>
      </c>
      <c r="E684" s="316"/>
      <c r="F684" s="316"/>
      <c r="G684" s="316"/>
      <c r="H684" s="178">
        <f>H685</f>
        <v>7</v>
      </c>
      <c r="I684" s="178">
        <f>I685</f>
        <v>0</v>
      </c>
      <c r="J684" s="351">
        <f t="shared" si="20"/>
        <v>0</v>
      </c>
      <c r="K684" s="316"/>
    </row>
    <row r="685" spans="1:11" s="1" customFormat="1" ht="12.75">
      <c r="A685" s="60" t="s">
        <v>226</v>
      </c>
      <c r="B685" s="122" t="s">
        <v>46</v>
      </c>
      <c r="C685" s="117" t="s">
        <v>188</v>
      </c>
      <c r="D685" s="178">
        <f>D686</f>
        <v>7</v>
      </c>
      <c r="E685" s="316"/>
      <c r="F685" s="316"/>
      <c r="G685" s="316"/>
      <c r="H685" s="178">
        <f>H686</f>
        <v>7</v>
      </c>
      <c r="I685" s="178">
        <f>I686</f>
        <v>0</v>
      </c>
      <c r="J685" s="351">
        <f t="shared" si="20"/>
        <v>0</v>
      </c>
      <c r="K685" s="316"/>
    </row>
    <row r="686" spans="1:11" s="1" customFormat="1" ht="12.75">
      <c r="A686" s="60" t="s">
        <v>189</v>
      </c>
      <c r="B686" s="122" t="s">
        <v>46</v>
      </c>
      <c r="C686" s="117" t="s">
        <v>187</v>
      </c>
      <c r="D686" s="178">
        <v>7</v>
      </c>
      <c r="E686" s="316"/>
      <c r="F686" s="316"/>
      <c r="G686" s="316"/>
      <c r="H686" s="178">
        <v>7</v>
      </c>
      <c r="I686" s="178">
        <f>D686-H686</f>
        <v>0</v>
      </c>
      <c r="J686" s="351">
        <f t="shared" si="20"/>
        <v>0</v>
      </c>
      <c r="K686" s="316"/>
    </row>
    <row r="687" spans="1:11" s="1" customFormat="1" ht="12.75">
      <c r="A687" s="312" t="s">
        <v>118</v>
      </c>
      <c r="B687" s="121" t="s">
        <v>47</v>
      </c>
      <c r="C687" s="117"/>
      <c r="D687" s="178">
        <f>D688+D690</f>
        <v>477.5</v>
      </c>
      <c r="E687" s="351"/>
      <c r="F687" s="316"/>
      <c r="G687" s="316"/>
      <c r="H687" s="178">
        <f>H688+H690</f>
        <v>477.5</v>
      </c>
      <c r="I687" s="178">
        <f>I688+I690</f>
        <v>0</v>
      </c>
      <c r="J687" s="351">
        <f t="shared" si="20"/>
        <v>0</v>
      </c>
      <c r="K687" s="316"/>
    </row>
    <row r="688" spans="1:11" s="1" customFormat="1" ht="38.25">
      <c r="A688" s="60" t="s">
        <v>116</v>
      </c>
      <c r="B688" s="121" t="s">
        <v>47</v>
      </c>
      <c r="C688" s="117" t="s">
        <v>198</v>
      </c>
      <c r="D688" s="178">
        <f>D689</f>
        <v>442.5</v>
      </c>
      <c r="E688" s="316"/>
      <c r="F688" s="316"/>
      <c r="G688" s="316"/>
      <c r="H688" s="178">
        <f>H689</f>
        <v>442.5</v>
      </c>
      <c r="I688" s="178">
        <f>I689</f>
        <v>0</v>
      </c>
      <c r="J688" s="351">
        <f t="shared" si="20"/>
        <v>0</v>
      </c>
      <c r="K688" s="316"/>
    </row>
    <row r="689" spans="1:11" s="1" customFormat="1" ht="12.75">
      <c r="A689" s="63" t="s">
        <v>193</v>
      </c>
      <c r="B689" s="121" t="s">
        <v>47</v>
      </c>
      <c r="C689" s="117" t="s">
        <v>194</v>
      </c>
      <c r="D689" s="178">
        <f>400.3+42.2</f>
        <v>442.5</v>
      </c>
      <c r="E689" s="316"/>
      <c r="F689" s="316"/>
      <c r="G689" s="316"/>
      <c r="H689" s="178">
        <f>400.3+42.2</f>
        <v>442.5</v>
      </c>
      <c r="I689" s="178">
        <f>D689-H689</f>
        <v>0</v>
      </c>
      <c r="J689" s="351">
        <f t="shared" si="20"/>
        <v>0</v>
      </c>
      <c r="K689" s="316"/>
    </row>
    <row r="690" spans="1:11" s="1" customFormat="1" ht="12.75">
      <c r="A690" s="60" t="s">
        <v>226</v>
      </c>
      <c r="B690" s="121" t="s">
        <v>47</v>
      </c>
      <c r="C690" s="117" t="s">
        <v>188</v>
      </c>
      <c r="D690" s="178">
        <f>D691</f>
        <v>35</v>
      </c>
      <c r="E690" s="316"/>
      <c r="F690" s="316"/>
      <c r="G690" s="316"/>
      <c r="H690" s="178">
        <f>H691</f>
        <v>35</v>
      </c>
      <c r="I690" s="178">
        <f>I691</f>
        <v>0</v>
      </c>
      <c r="J690" s="351">
        <f t="shared" si="20"/>
        <v>0</v>
      </c>
      <c r="K690" s="316"/>
    </row>
    <row r="691" spans="1:11" s="1" customFormat="1" ht="12.75">
      <c r="A691" s="60" t="s">
        <v>189</v>
      </c>
      <c r="B691" s="121" t="s">
        <v>47</v>
      </c>
      <c r="C691" s="117" t="s">
        <v>187</v>
      </c>
      <c r="D691" s="178">
        <v>35</v>
      </c>
      <c r="E691" s="316"/>
      <c r="F691" s="316"/>
      <c r="G691" s="316"/>
      <c r="H691" s="178">
        <v>35</v>
      </c>
      <c r="I691" s="178">
        <f>D691-H691</f>
        <v>0</v>
      </c>
      <c r="J691" s="351">
        <f t="shared" si="20"/>
        <v>0</v>
      </c>
      <c r="K691" s="316"/>
    </row>
    <row r="692" spans="1:11" s="1" customFormat="1" ht="41.25" customHeight="1">
      <c r="A692" s="109" t="s">
        <v>492</v>
      </c>
      <c r="B692" s="133" t="s">
        <v>261</v>
      </c>
      <c r="C692" s="127"/>
      <c r="D692" s="177">
        <f>D693</f>
        <v>17526.8</v>
      </c>
      <c r="E692" s="316"/>
      <c r="F692" s="316"/>
      <c r="G692" s="316"/>
      <c r="H692" s="177">
        <f>H693</f>
        <v>17526.8</v>
      </c>
      <c r="I692" s="177">
        <f>I693</f>
        <v>0</v>
      </c>
      <c r="J692" s="351">
        <f t="shared" si="20"/>
        <v>0</v>
      </c>
      <c r="K692" s="316"/>
    </row>
    <row r="693" spans="1:11" s="1" customFormat="1" ht="12.75">
      <c r="A693" s="50" t="s">
        <v>115</v>
      </c>
      <c r="B693" s="121" t="s">
        <v>262</v>
      </c>
      <c r="C693" s="117"/>
      <c r="D693" s="178">
        <f>D694+D696</f>
        <v>17526.8</v>
      </c>
      <c r="E693" s="316"/>
      <c r="F693" s="316"/>
      <c r="G693" s="316"/>
      <c r="H693" s="178">
        <f>H694+H696</f>
        <v>17526.8</v>
      </c>
      <c r="I693" s="178">
        <f>I694+I696</f>
        <v>0</v>
      </c>
      <c r="J693" s="351">
        <f t="shared" si="20"/>
        <v>0</v>
      </c>
      <c r="K693" s="316"/>
    </row>
    <row r="694" spans="1:11" s="1" customFormat="1" ht="38.25">
      <c r="A694" s="60" t="s">
        <v>116</v>
      </c>
      <c r="B694" s="121" t="s">
        <v>262</v>
      </c>
      <c r="C694" s="117" t="s">
        <v>198</v>
      </c>
      <c r="D694" s="178">
        <f>D695</f>
        <v>16716.6</v>
      </c>
      <c r="E694" s="316"/>
      <c r="F694" s="316"/>
      <c r="G694" s="316"/>
      <c r="H694" s="178">
        <f>H695</f>
        <v>16716.6</v>
      </c>
      <c r="I694" s="178">
        <f>I695</f>
        <v>0</v>
      </c>
      <c r="J694" s="351">
        <f t="shared" si="20"/>
        <v>0</v>
      </c>
      <c r="K694" s="316"/>
    </row>
    <row r="695" spans="1:11" s="1" customFormat="1" ht="12.75">
      <c r="A695" s="63" t="s">
        <v>193</v>
      </c>
      <c r="B695" s="121" t="s">
        <v>262</v>
      </c>
      <c r="C695" s="117" t="s">
        <v>194</v>
      </c>
      <c r="D695" s="178">
        <v>16716.6</v>
      </c>
      <c r="E695" s="316"/>
      <c r="F695" s="316"/>
      <c r="G695" s="316"/>
      <c r="H695" s="178">
        <v>16716.6</v>
      </c>
      <c r="I695" s="178">
        <f>D695-H695</f>
        <v>0</v>
      </c>
      <c r="J695" s="351">
        <f t="shared" si="20"/>
        <v>0</v>
      </c>
      <c r="K695" s="316"/>
    </row>
    <row r="696" spans="1:11" s="1" customFormat="1" ht="12.75">
      <c r="A696" s="60" t="s">
        <v>226</v>
      </c>
      <c r="B696" s="121" t="s">
        <v>262</v>
      </c>
      <c r="C696" s="117" t="s">
        <v>188</v>
      </c>
      <c r="D696" s="178">
        <f>D697</f>
        <v>810.2</v>
      </c>
      <c r="E696" s="316"/>
      <c r="F696" s="316"/>
      <c r="G696" s="316"/>
      <c r="H696" s="178">
        <f>H697</f>
        <v>810.2</v>
      </c>
      <c r="I696" s="178">
        <f>I697</f>
        <v>0</v>
      </c>
      <c r="J696" s="351">
        <f t="shared" si="20"/>
        <v>0</v>
      </c>
      <c r="K696" s="316"/>
    </row>
    <row r="697" spans="1:11" s="1" customFormat="1" ht="12.75">
      <c r="A697" s="60" t="s">
        <v>189</v>
      </c>
      <c r="B697" s="121" t="s">
        <v>262</v>
      </c>
      <c r="C697" s="117" t="s">
        <v>187</v>
      </c>
      <c r="D697" s="178">
        <v>810.2</v>
      </c>
      <c r="E697" s="316"/>
      <c r="F697" s="316"/>
      <c r="G697" s="316"/>
      <c r="H697" s="178">
        <v>810.2</v>
      </c>
      <c r="I697" s="178">
        <f>D697-H697</f>
        <v>0</v>
      </c>
      <c r="J697" s="351">
        <f t="shared" si="20"/>
        <v>0</v>
      </c>
      <c r="K697" s="316"/>
    </row>
    <row r="698" spans="1:11" s="1" customFormat="1" ht="25.5">
      <c r="A698" s="128" t="s">
        <v>583</v>
      </c>
      <c r="B698" s="127" t="s">
        <v>342</v>
      </c>
      <c r="C698" s="134"/>
      <c r="D698" s="177">
        <f>D699+D702</f>
        <v>210</v>
      </c>
      <c r="E698" s="316"/>
      <c r="F698" s="316"/>
      <c r="G698" s="316"/>
      <c r="H698" s="177">
        <f>H699+H702</f>
        <v>210</v>
      </c>
      <c r="I698" s="177">
        <f>I699+I702</f>
        <v>0</v>
      </c>
      <c r="J698" s="351">
        <f t="shared" si="20"/>
        <v>0</v>
      </c>
      <c r="K698" s="316"/>
    </row>
    <row r="699" spans="1:11" s="1" customFormat="1" ht="25.5">
      <c r="A699" s="46" t="s">
        <v>94</v>
      </c>
      <c r="B699" s="117" t="s">
        <v>347</v>
      </c>
      <c r="C699" s="172"/>
      <c r="D699" s="187">
        <f>D700</f>
        <v>10</v>
      </c>
      <c r="E699" s="316"/>
      <c r="F699" s="316"/>
      <c r="G699" s="316"/>
      <c r="H699" s="187">
        <f>H700</f>
        <v>10</v>
      </c>
      <c r="I699" s="187">
        <f>I700</f>
        <v>0</v>
      </c>
      <c r="J699" s="351">
        <f t="shared" si="20"/>
        <v>0</v>
      </c>
      <c r="K699" s="316"/>
    </row>
    <row r="700" spans="1:11" s="1" customFormat="1" ht="12.75">
      <c r="A700" s="60" t="s">
        <v>226</v>
      </c>
      <c r="B700" s="117" t="s">
        <v>347</v>
      </c>
      <c r="C700" s="173">
        <v>200</v>
      </c>
      <c r="D700" s="183">
        <f>D701</f>
        <v>10</v>
      </c>
      <c r="E700" s="316"/>
      <c r="F700" s="316"/>
      <c r="G700" s="316"/>
      <c r="H700" s="183">
        <f>H701</f>
        <v>10</v>
      </c>
      <c r="I700" s="183">
        <f>I701</f>
        <v>0</v>
      </c>
      <c r="J700" s="351">
        <f t="shared" si="20"/>
        <v>0</v>
      </c>
      <c r="K700" s="316"/>
    </row>
    <row r="701" spans="1:11" s="1" customFormat="1" ht="12.75">
      <c r="A701" s="60" t="s">
        <v>189</v>
      </c>
      <c r="B701" s="117" t="s">
        <v>347</v>
      </c>
      <c r="C701" s="173">
        <v>240</v>
      </c>
      <c r="D701" s="183">
        <v>10</v>
      </c>
      <c r="E701" s="316"/>
      <c r="F701" s="316"/>
      <c r="G701" s="316"/>
      <c r="H701" s="183">
        <v>10</v>
      </c>
      <c r="I701" s="178">
        <f>D701-H701</f>
        <v>0</v>
      </c>
      <c r="J701" s="351">
        <f t="shared" si="20"/>
        <v>0</v>
      </c>
      <c r="K701" s="316"/>
    </row>
    <row r="702" spans="1:11" s="1" customFormat="1" ht="25.5">
      <c r="A702" s="46" t="s">
        <v>629</v>
      </c>
      <c r="B702" s="302" t="s">
        <v>628</v>
      </c>
      <c r="C702" s="303"/>
      <c r="D702" s="183">
        <f>D703</f>
        <v>200</v>
      </c>
      <c r="E702" s="316"/>
      <c r="F702" s="316"/>
      <c r="G702" s="316"/>
      <c r="H702" s="183">
        <f>H703</f>
        <v>200</v>
      </c>
      <c r="I702" s="183">
        <f>I703</f>
        <v>0</v>
      </c>
      <c r="J702" s="351">
        <f t="shared" si="20"/>
        <v>0</v>
      </c>
      <c r="K702" s="316"/>
    </row>
    <row r="703" spans="1:11" s="1" customFormat="1" ht="12.75">
      <c r="A703" s="60" t="s">
        <v>89</v>
      </c>
      <c r="B703" s="302" t="s">
        <v>628</v>
      </c>
      <c r="C703" s="173">
        <v>300</v>
      </c>
      <c r="D703" s="183">
        <f>D704</f>
        <v>200</v>
      </c>
      <c r="E703" s="316"/>
      <c r="F703" s="316"/>
      <c r="G703" s="316"/>
      <c r="H703" s="183">
        <f>H704</f>
        <v>200</v>
      </c>
      <c r="I703" s="183">
        <f>I704</f>
        <v>0</v>
      </c>
      <c r="J703" s="351">
        <f t="shared" si="20"/>
        <v>0</v>
      </c>
      <c r="K703" s="316"/>
    </row>
    <row r="704" spans="1:11" s="1" customFormat="1" ht="12.75">
      <c r="A704" s="60" t="s">
        <v>424</v>
      </c>
      <c r="B704" s="302" t="s">
        <v>628</v>
      </c>
      <c r="C704" s="173">
        <v>310</v>
      </c>
      <c r="D704" s="183">
        <v>200</v>
      </c>
      <c r="E704" s="316"/>
      <c r="F704" s="316"/>
      <c r="G704" s="316"/>
      <c r="H704" s="183">
        <v>200</v>
      </c>
      <c r="I704" s="178">
        <f>D704-H704</f>
        <v>0</v>
      </c>
      <c r="J704" s="351">
        <f t="shared" si="20"/>
        <v>0</v>
      </c>
      <c r="K704" s="316"/>
    </row>
    <row r="705" spans="1:11" s="6" customFormat="1" ht="25.5">
      <c r="A705" s="109" t="s">
        <v>643</v>
      </c>
      <c r="B705" s="133" t="s">
        <v>362</v>
      </c>
      <c r="C705" s="127"/>
      <c r="D705" s="177">
        <f>D706</f>
        <v>10234.4</v>
      </c>
      <c r="E705" s="322"/>
      <c r="F705" s="322"/>
      <c r="G705" s="322"/>
      <c r="H705" s="177">
        <f>H706</f>
        <v>10234.4</v>
      </c>
      <c r="I705" s="177">
        <f>I706</f>
        <v>0</v>
      </c>
      <c r="J705" s="351">
        <f t="shared" si="20"/>
        <v>0</v>
      </c>
      <c r="K705" s="322"/>
    </row>
    <row r="706" spans="1:11" s="6" customFormat="1" ht="12.75">
      <c r="A706" s="50" t="s">
        <v>115</v>
      </c>
      <c r="B706" s="121" t="s">
        <v>363</v>
      </c>
      <c r="C706" s="117"/>
      <c r="D706" s="178">
        <f>D707+D709</f>
        <v>10234.4</v>
      </c>
      <c r="E706" s="322"/>
      <c r="F706" s="322"/>
      <c r="G706" s="322"/>
      <c r="H706" s="178">
        <f>H707+H709</f>
        <v>10234.4</v>
      </c>
      <c r="I706" s="178">
        <f>I707+I709</f>
        <v>0</v>
      </c>
      <c r="J706" s="351">
        <f t="shared" si="20"/>
        <v>0</v>
      </c>
      <c r="K706" s="322"/>
    </row>
    <row r="707" spans="1:11" s="6" customFormat="1" ht="38.25">
      <c r="A707" s="60" t="s">
        <v>116</v>
      </c>
      <c r="B707" s="121" t="s">
        <v>363</v>
      </c>
      <c r="C707" s="117" t="s">
        <v>198</v>
      </c>
      <c r="D707" s="178">
        <f>D708</f>
        <v>9958.9</v>
      </c>
      <c r="E707" s="322"/>
      <c r="F707" s="322"/>
      <c r="G707" s="322"/>
      <c r="H707" s="178">
        <f>H708</f>
        <v>9958.9</v>
      </c>
      <c r="I707" s="178">
        <f>I708</f>
        <v>0</v>
      </c>
      <c r="J707" s="351">
        <f t="shared" si="20"/>
        <v>0</v>
      </c>
      <c r="K707" s="322"/>
    </row>
    <row r="708" spans="1:11" s="6" customFormat="1" ht="12.75">
      <c r="A708" s="63" t="s">
        <v>193</v>
      </c>
      <c r="B708" s="121" t="s">
        <v>363</v>
      </c>
      <c r="C708" s="117" t="s">
        <v>194</v>
      </c>
      <c r="D708" s="178">
        <f>9795.6+163.3</f>
        <v>9958.9</v>
      </c>
      <c r="E708" s="322"/>
      <c r="F708" s="322"/>
      <c r="G708" s="322"/>
      <c r="H708" s="178">
        <f>9795.6+163.3</f>
        <v>9958.9</v>
      </c>
      <c r="I708" s="178">
        <f>D708-H708</f>
        <v>0</v>
      </c>
      <c r="J708" s="351">
        <f t="shared" si="20"/>
        <v>0</v>
      </c>
      <c r="K708" s="322"/>
    </row>
    <row r="709" spans="1:11" s="6" customFormat="1" ht="12.75">
      <c r="A709" s="60" t="s">
        <v>226</v>
      </c>
      <c r="B709" s="121" t="s">
        <v>363</v>
      </c>
      <c r="C709" s="117" t="s">
        <v>188</v>
      </c>
      <c r="D709" s="178">
        <f>D710</f>
        <v>275.5</v>
      </c>
      <c r="E709" s="322"/>
      <c r="F709" s="322"/>
      <c r="G709" s="322"/>
      <c r="H709" s="178">
        <f>H710</f>
        <v>275.5</v>
      </c>
      <c r="I709" s="178">
        <f>I710</f>
        <v>0</v>
      </c>
      <c r="J709" s="351">
        <f t="shared" si="20"/>
        <v>0</v>
      </c>
      <c r="K709" s="322"/>
    </row>
    <row r="710" spans="1:11" s="6" customFormat="1" ht="12.75">
      <c r="A710" s="60" t="s">
        <v>189</v>
      </c>
      <c r="B710" s="121" t="s">
        <v>363</v>
      </c>
      <c r="C710" s="117" t="s">
        <v>187</v>
      </c>
      <c r="D710" s="178">
        <v>275.5</v>
      </c>
      <c r="E710" s="322"/>
      <c r="F710" s="322"/>
      <c r="G710" s="322"/>
      <c r="H710" s="178">
        <v>275.5</v>
      </c>
      <c r="I710" s="178">
        <f>D710-H710</f>
        <v>0</v>
      </c>
      <c r="J710" s="351">
        <f aca="true" t="shared" si="21" ref="J710:J772">D710-H710</f>
        <v>0</v>
      </c>
      <c r="K710" s="322"/>
    </row>
    <row r="711" spans="1:11" s="6" customFormat="1" ht="25.5">
      <c r="A711" s="109" t="s">
        <v>322</v>
      </c>
      <c r="B711" s="127" t="s">
        <v>323</v>
      </c>
      <c r="C711" s="132"/>
      <c r="D711" s="193">
        <f>D712+D717+D722</f>
        <v>45737.1</v>
      </c>
      <c r="E711" s="322"/>
      <c r="F711" s="322"/>
      <c r="G711" s="322"/>
      <c r="H711" s="193">
        <f>H712+H717+H722</f>
        <v>45737.1</v>
      </c>
      <c r="I711" s="193">
        <f>I712+I717+I722</f>
        <v>0</v>
      </c>
      <c r="J711" s="351">
        <f t="shared" si="21"/>
        <v>0</v>
      </c>
      <c r="K711" s="322"/>
    </row>
    <row r="712" spans="1:11" s="6" customFormat="1" ht="51">
      <c r="A712" s="50" t="s">
        <v>326</v>
      </c>
      <c r="B712" s="117" t="s">
        <v>324</v>
      </c>
      <c r="C712" s="123"/>
      <c r="D712" s="183">
        <f>D713+D715</f>
        <v>42883.2</v>
      </c>
      <c r="E712" s="322"/>
      <c r="F712" s="322"/>
      <c r="G712" s="322"/>
      <c r="H712" s="183">
        <f>H713+H715</f>
        <v>42883.2</v>
      </c>
      <c r="I712" s="183">
        <f>I713+I715</f>
        <v>0</v>
      </c>
      <c r="J712" s="351">
        <f t="shared" si="21"/>
        <v>0</v>
      </c>
      <c r="K712" s="322"/>
    </row>
    <row r="713" spans="1:11" s="6" customFormat="1" ht="12.75">
      <c r="A713" s="60" t="s">
        <v>89</v>
      </c>
      <c r="B713" s="117" t="s">
        <v>324</v>
      </c>
      <c r="C713" s="117" t="s">
        <v>85</v>
      </c>
      <c r="D713" s="183">
        <f>D714</f>
        <v>21984.1</v>
      </c>
      <c r="E713" s="322"/>
      <c r="F713" s="322"/>
      <c r="G713" s="322"/>
      <c r="H713" s="183">
        <f>H714</f>
        <v>21984.1</v>
      </c>
      <c r="I713" s="183">
        <f>I714</f>
        <v>0</v>
      </c>
      <c r="J713" s="351">
        <f t="shared" si="21"/>
        <v>0</v>
      </c>
      <c r="K713" s="322"/>
    </row>
    <row r="714" spans="1:11" s="6" customFormat="1" ht="12.75">
      <c r="A714" s="61" t="s">
        <v>84</v>
      </c>
      <c r="B714" s="117" t="s">
        <v>324</v>
      </c>
      <c r="C714" s="117" t="s">
        <v>86</v>
      </c>
      <c r="D714" s="186">
        <v>21984.1</v>
      </c>
      <c r="E714" s="322"/>
      <c r="F714" s="322"/>
      <c r="G714" s="322"/>
      <c r="H714" s="186">
        <v>21984.1</v>
      </c>
      <c r="I714" s="178">
        <f>D714-H714</f>
        <v>0</v>
      </c>
      <c r="J714" s="351">
        <f t="shared" si="21"/>
        <v>0</v>
      </c>
      <c r="K714" s="322"/>
    </row>
    <row r="715" spans="1:11" s="6" customFormat="1" ht="12.75">
      <c r="A715" s="46" t="s">
        <v>90</v>
      </c>
      <c r="B715" s="117" t="s">
        <v>324</v>
      </c>
      <c r="C715" s="117" t="s">
        <v>87</v>
      </c>
      <c r="D715" s="183">
        <f>D716</f>
        <v>20899.1</v>
      </c>
      <c r="E715" s="322"/>
      <c r="F715" s="322"/>
      <c r="G715" s="322"/>
      <c r="H715" s="183">
        <f>H716</f>
        <v>20899.1</v>
      </c>
      <c r="I715" s="183">
        <f>I716</f>
        <v>0</v>
      </c>
      <c r="J715" s="351">
        <f t="shared" si="21"/>
        <v>0</v>
      </c>
      <c r="K715" s="322"/>
    </row>
    <row r="716" spans="1:11" s="6" customFormat="1" ht="12.75">
      <c r="A716" s="64" t="s">
        <v>209</v>
      </c>
      <c r="B716" s="117" t="s">
        <v>324</v>
      </c>
      <c r="C716" s="117" t="s">
        <v>210</v>
      </c>
      <c r="D716" s="186">
        <v>20899.1</v>
      </c>
      <c r="E716" s="322"/>
      <c r="F716" s="322"/>
      <c r="G716" s="322"/>
      <c r="H716" s="186">
        <v>20899.1</v>
      </c>
      <c r="I716" s="178">
        <f>D716-H716</f>
        <v>0</v>
      </c>
      <c r="J716" s="351">
        <f t="shared" si="21"/>
        <v>0</v>
      </c>
      <c r="K716" s="322"/>
    </row>
    <row r="717" spans="1:11" s="6" customFormat="1" ht="51">
      <c r="A717" s="50" t="s">
        <v>327</v>
      </c>
      <c r="B717" s="117" t="s">
        <v>325</v>
      </c>
      <c r="C717" s="123"/>
      <c r="D717" s="183">
        <f>D718+D720</f>
        <v>853.9</v>
      </c>
      <c r="E717" s="322"/>
      <c r="F717" s="322"/>
      <c r="G717" s="322"/>
      <c r="H717" s="183">
        <f>H718+H720</f>
        <v>853.9</v>
      </c>
      <c r="I717" s="183">
        <f>I718+I720</f>
        <v>0</v>
      </c>
      <c r="J717" s="351">
        <f t="shared" si="21"/>
        <v>0</v>
      </c>
      <c r="K717" s="322"/>
    </row>
    <row r="718" spans="1:11" s="6" customFormat="1" ht="12.75">
      <c r="A718" s="60" t="s">
        <v>89</v>
      </c>
      <c r="B718" s="117" t="s">
        <v>325</v>
      </c>
      <c r="C718" s="117" t="s">
        <v>85</v>
      </c>
      <c r="D718" s="183">
        <f>D719</f>
        <v>448.7</v>
      </c>
      <c r="E718" s="322"/>
      <c r="F718" s="322"/>
      <c r="G718" s="322"/>
      <c r="H718" s="183">
        <f>H719</f>
        <v>448.7</v>
      </c>
      <c r="I718" s="183">
        <f>I719</f>
        <v>0</v>
      </c>
      <c r="J718" s="351">
        <f t="shared" si="21"/>
        <v>0</v>
      </c>
      <c r="K718" s="322"/>
    </row>
    <row r="719" spans="1:11" s="6" customFormat="1" ht="12.75">
      <c r="A719" s="61" t="s">
        <v>84</v>
      </c>
      <c r="B719" s="117" t="s">
        <v>325</v>
      </c>
      <c r="C719" s="117" t="s">
        <v>86</v>
      </c>
      <c r="D719" s="186">
        <v>448.7</v>
      </c>
      <c r="E719" s="322"/>
      <c r="F719" s="322"/>
      <c r="G719" s="322"/>
      <c r="H719" s="186">
        <v>448.7</v>
      </c>
      <c r="I719" s="178">
        <f>D719-H719</f>
        <v>0</v>
      </c>
      <c r="J719" s="351">
        <f t="shared" si="21"/>
        <v>0</v>
      </c>
      <c r="K719" s="322"/>
    </row>
    <row r="720" spans="1:11" s="6" customFormat="1" ht="12.75">
      <c r="A720" s="46" t="s">
        <v>90</v>
      </c>
      <c r="B720" s="117" t="s">
        <v>325</v>
      </c>
      <c r="C720" s="117" t="s">
        <v>87</v>
      </c>
      <c r="D720" s="183">
        <f>D721</f>
        <v>405.2</v>
      </c>
      <c r="E720" s="322"/>
      <c r="F720" s="322"/>
      <c r="G720" s="322"/>
      <c r="H720" s="183">
        <f>H721</f>
        <v>405.2</v>
      </c>
      <c r="I720" s="183">
        <f>I721</f>
        <v>0</v>
      </c>
      <c r="J720" s="351">
        <f t="shared" si="21"/>
        <v>0</v>
      </c>
      <c r="K720" s="322"/>
    </row>
    <row r="721" spans="1:11" s="6" customFormat="1" ht="12.75">
      <c r="A721" s="64" t="s">
        <v>209</v>
      </c>
      <c r="B721" s="117" t="s">
        <v>325</v>
      </c>
      <c r="C721" s="117" t="s">
        <v>210</v>
      </c>
      <c r="D721" s="186">
        <v>405.2</v>
      </c>
      <c r="E721" s="322"/>
      <c r="F721" s="322"/>
      <c r="G721" s="322"/>
      <c r="H721" s="186">
        <v>405.2</v>
      </c>
      <c r="I721" s="178">
        <f>D721-H721</f>
        <v>0</v>
      </c>
      <c r="J721" s="351">
        <f t="shared" si="21"/>
        <v>0</v>
      </c>
      <c r="K721" s="322"/>
    </row>
    <row r="722" spans="1:11" s="6" customFormat="1" ht="12.75">
      <c r="A722" s="50" t="s">
        <v>232</v>
      </c>
      <c r="B722" s="117" t="s">
        <v>622</v>
      </c>
      <c r="C722" s="123"/>
      <c r="D722" s="183">
        <f>D723</f>
        <v>2000</v>
      </c>
      <c r="E722" s="322"/>
      <c r="F722" s="322"/>
      <c r="G722" s="322"/>
      <c r="H722" s="183">
        <f>H723</f>
        <v>2000</v>
      </c>
      <c r="I722" s="183">
        <f>I723</f>
        <v>0</v>
      </c>
      <c r="J722" s="351">
        <f t="shared" si="21"/>
        <v>0</v>
      </c>
      <c r="K722" s="322"/>
    </row>
    <row r="723" spans="1:11" s="6" customFormat="1" ht="12.75">
      <c r="A723" s="63" t="s">
        <v>227</v>
      </c>
      <c r="B723" s="117" t="s">
        <v>622</v>
      </c>
      <c r="C723" s="117" t="s">
        <v>199</v>
      </c>
      <c r="D723" s="183">
        <f>D724</f>
        <v>2000</v>
      </c>
      <c r="E723" s="322"/>
      <c r="F723" s="322"/>
      <c r="G723" s="322"/>
      <c r="H723" s="183">
        <f>H724</f>
        <v>2000</v>
      </c>
      <c r="I723" s="183">
        <f>I724</f>
        <v>0</v>
      </c>
      <c r="J723" s="351">
        <f t="shared" si="21"/>
        <v>0</v>
      </c>
      <c r="K723" s="322"/>
    </row>
    <row r="724" spans="1:11" s="6" customFormat="1" ht="12.75">
      <c r="A724" s="64" t="s">
        <v>179</v>
      </c>
      <c r="B724" s="117" t="s">
        <v>622</v>
      </c>
      <c r="C724" s="117" t="s">
        <v>200</v>
      </c>
      <c r="D724" s="186">
        <v>2000</v>
      </c>
      <c r="E724" s="322"/>
      <c r="F724" s="322"/>
      <c r="G724" s="322"/>
      <c r="H724" s="186">
        <v>2000</v>
      </c>
      <c r="I724" s="178">
        <f>D724-H724</f>
        <v>0</v>
      </c>
      <c r="J724" s="351">
        <f t="shared" si="21"/>
        <v>0</v>
      </c>
      <c r="K724" s="322"/>
    </row>
    <row r="725" spans="1:11" s="6" customFormat="1" ht="12.75">
      <c r="A725" s="109" t="s">
        <v>529</v>
      </c>
      <c r="B725" s="127" t="s">
        <v>67</v>
      </c>
      <c r="C725" s="132"/>
      <c r="D725" s="193">
        <f>D726+D730+D736</f>
        <v>7195.7</v>
      </c>
      <c r="E725" s="322"/>
      <c r="F725" s="322"/>
      <c r="G725" s="322"/>
      <c r="H725" s="193">
        <f>H726+H730+H736</f>
        <v>7195.74</v>
      </c>
      <c r="I725" s="193">
        <f>I726+I730+I736</f>
        <v>-0.03999999999996362</v>
      </c>
      <c r="J725" s="351">
        <f t="shared" si="21"/>
        <v>-0.03999999999996362</v>
      </c>
      <c r="K725" s="322"/>
    </row>
    <row r="726" spans="1:11" s="6" customFormat="1" ht="12.75">
      <c r="A726" s="50" t="s">
        <v>635</v>
      </c>
      <c r="B726" s="117" t="s">
        <v>68</v>
      </c>
      <c r="C726" s="123"/>
      <c r="D726" s="183">
        <f>D727</f>
        <v>2726.3</v>
      </c>
      <c r="E726" s="322"/>
      <c r="F726" s="322"/>
      <c r="G726" s="322"/>
      <c r="H726" s="183">
        <f aca="true" t="shared" si="22" ref="H726:I728">H727</f>
        <v>2726.3</v>
      </c>
      <c r="I726" s="183">
        <f t="shared" si="22"/>
        <v>0</v>
      </c>
      <c r="J726" s="351">
        <f t="shared" si="21"/>
        <v>0</v>
      </c>
      <c r="K726" s="322"/>
    </row>
    <row r="727" spans="1:11" s="6" customFormat="1" ht="12.75">
      <c r="A727" s="46" t="s">
        <v>103</v>
      </c>
      <c r="B727" s="117" t="s">
        <v>69</v>
      </c>
      <c r="C727" s="123"/>
      <c r="D727" s="183">
        <f>D728</f>
        <v>2726.3</v>
      </c>
      <c r="E727" s="322"/>
      <c r="F727" s="322"/>
      <c r="G727" s="322"/>
      <c r="H727" s="183">
        <f t="shared" si="22"/>
        <v>2726.3</v>
      </c>
      <c r="I727" s="183">
        <f t="shared" si="22"/>
        <v>0</v>
      </c>
      <c r="J727" s="351">
        <f t="shared" si="21"/>
        <v>0</v>
      </c>
      <c r="K727" s="322"/>
    </row>
    <row r="728" spans="1:11" s="6" customFormat="1" ht="38.25">
      <c r="A728" s="60" t="s">
        <v>116</v>
      </c>
      <c r="B728" s="117" t="s">
        <v>69</v>
      </c>
      <c r="C728" s="117" t="s">
        <v>198</v>
      </c>
      <c r="D728" s="183">
        <f>D729</f>
        <v>2726.3</v>
      </c>
      <c r="E728" s="322"/>
      <c r="F728" s="322"/>
      <c r="G728" s="322"/>
      <c r="H728" s="183">
        <f t="shared" si="22"/>
        <v>2726.3</v>
      </c>
      <c r="I728" s="183">
        <f t="shared" si="22"/>
        <v>0</v>
      </c>
      <c r="J728" s="351">
        <f t="shared" si="21"/>
        <v>0</v>
      </c>
      <c r="K728" s="322"/>
    </row>
    <row r="729" spans="1:11" s="6" customFormat="1" ht="12.75">
      <c r="A729" s="63" t="s">
        <v>193</v>
      </c>
      <c r="B729" s="117" t="s">
        <v>69</v>
      </c>
      <c r="C729" s="117" t="s">
        <v>194</v>
      </c>
      <c r="D729" s="186">
        <f>1660+1066.3</f>
        <v>2726.3</v>
      </c>
      <c r="E729" s="322"/>
      <c r="F729" s="322"/>
      <c r="G729" s="322"/>
      <c r="H729" s="186">
        <f>1660+1066.3</f>
        <v>2726.3</v>
      </c>
      <c r="I729" s="178">
        <f>D729-H729</f>
        <v>0</v>
      </c>
      <c r="J729" s="351">
        <f t="shared" si="21"/>
        <v>0</v>
      </c>
      <c r="K729" s="322"/>
    </row>
    <row r="730" spans="1:11" s="6" customFormat="1" ht="12.75">
      <c r="A730" s="74" t="s">
        <v>520</v>
      </c>
      <c r="B730" s="117" t="s">
        <v>636</v>
      </c>
      <c r="C730" s="117"/>
      <c r="D730" s="186">
        <f>D731</f>
        <v>3749.3999999999996</v>
      </c>
      <c r="E730" s="322"/>
      <c r="F730" s="322"/>
      <c r="G730" s="322"/>
      <c r="H730" s="186">
        <f>H731</f>
        <v>3749.4399999999996</v>
      </c>
      <c r="I730" s="186">
        <f>I731</f>
        <v>-0.03999999999996362</v>
      </c>
      <c r="J730" s="351">
        <f t="shared" si="21"/>
        <v>-0.03999999999996362</v>
      </c>
      <c r="K730" s="322"/>
    </row>
    <row r="731" spans="1:11" s="6" customFormat="1" ht="12.75">
      <c r="A731" s="46" t="s">
        <v>103</v>
      </c>
      <c r="B731" s="117" t="s">
        <v>637</v>
      </c>
      <c r="C731" s="123"/>
      <c r="D731" s="183">
        <f>D732+D734</f>
        <v>3749.3999999999996</v>
      </c>
      <c r="E731" s="322"/>
      <c r="F731" s="322"/>
      <c r="G731" s="322"/>
      <c r="H731" s="183">
        <f>H732+H734</f>
        <v>3749.4399999999996</v>
      </c>
      <c r="I731" s="183">
        <f>I732+I734</f>
        <v>-0.03999999999996362</v>
      </c>
      <c r="J731" s="351">
        <f t="shared" si="21"/>
        <v>-0.03999999999996362</v>
      </c>
      <c r="K731" s="322"/>
    </row>
    <row r="732" spans="1:11" s="6" customFormat="1" ht="38.25">
      <c r="A732" s="60" t="s">
        <v>116</v>
      </c>
      <c r="B732" s="117" t="s">
        <v>637</v>
      </c>
      <c r="C732" s="117" t="s">
        <v>198</v>
      </c>
      <c r="D732" s="183">
        <f>D733</f>
        <v>3566.7</v>
      </c>
      <c r="E732" s="322"/>
      <c r="F732" s="322"/>
      <c r="G732" s="322"/>
      <c r="H732" s="183">
        <f>H733</f>
        <v>3566.74</v>
      </c>
      <c r="I732" s="183">
        <f>I733</f>
        <v>-0.03999999999996362</v>
      </c>
      <c r="J732" s="351">
        <f t="shared" si="21"/>
        <v>-0.03999999999996362</v>
      </c>
      <c r="K732" s="322"/>
    </row>
    <row r="733" spans="1:11" s="6" customFormat="1" ht="12.75">
      <c r="A733" s="63" t="s">
        <v>193</v>
      </c>
      <c r="B733" s="117" t="s">
        <v>637</v>
      </c>
      <c r="C733" s="117" t="s">
        <v>194</v>
      </c>
      <c r="D733" s="186">
        <f>1546+2020.7</f>
        <v>3566.7</v>
      </c>
      <c r="E733" s="322"/>
      <c r="F733" s="322"/>
      <c r="G733" s="322"/>
      <c r="H733" s="186">
        <f>1546+2020.74</f>
        <v>3566.74</v>
      </c>
      <c r="I733" s="178">
        <f>D733-H733</f>
        <v>-0.03999999999996362</v>
      </c>
      <c r="J733" s="351">
        <f t="shared" si="21"/>
        <v>-0.03999999999996362</v>
      </c>
      <c r="K733" s="322"/>
    </row>
    <row r="734" spans="1:11" s="6" customFormat="1" ht="12.75">
      <c r="A734" s="60" t="s">
        <v>226</v>
      </c>
      <c r="B734" s="117" t="s">
        <v>637</v>
      </c>
      <c r="C734" s="117" t="s">
        <v>188</v>
      </c>
      <c r="D734" s="178">
        <f>D735</f>
        <v>182.7</v>
      </c>
      <c r="E734" s="322"/>
      <c r="F734" s="322"/>
      <c r="G734" s="322"/>
      <c r="H734" s="178">
        <f>H735</f>
        <v>182.7</v>
      </c>
      <c r="I734" s="178">
        <f>I735</f>
        <v>0</v>
      </c>
      <c r="J734" s="351">
        <f t="shared" si="21"/>
        <v>0</v>
      </c>
      <c r="K734" s="322"/>
    </row>
    <row r="735" spans="1:11" s="6" customFormat="1" ht="12.75">
      <c r="A735" s="60" t="s">
        <v>189</v>
      </c>
      <c r="B735" s="117" t="s">
        <v>637</v>
      </c>
      <c r="C735" s="117" t="s">
        <v>187</v>
      </c>
      <c r="D735" s="178">
        <v>182.7</v>
      </c>
      <c r="E735" s="322"/>
      <c r="F735" s="322"/>
      <c r="G735" s="322"/>
      <c r="H735" s="178">
        <v>182.7</v>
      </c>
      <c r="I735" s="178">
        <f>D735-H735</f>
        <v>0</v>
      </c>
      <c r="J735" s="351">
        <f t="shared" si="21"/>
        <v>0</v>
      </c>
      <c r="K735" s="322"/>
    </row>
    <row r="736" spans="1:11" s="6" customFormat="1" ht="12.75">
      <c r="A736" s="74" t="s">
        <v>520</v>
      </c>
      <c r="B736" s="117" t="s">
        <v>636</v>
      </c>
      <c r="C736" s="117"/>
      <c r="D736" s="178">
        <f>D737</f>
        <v>720</v>
      </c>
      <c r="E736" s="322"/>
      <c r="F736" s="322"/>
      <c r="G736" s="322"/>
      <c r="H736" s="178">
        <f aca="true" t="shared" si="23" ref="H736:I738">H737</f>
        <v>720</v>
      </c>
      <c r="I736" s="178">
        <f t="shared" si="23"/>
        <v>0</v>
      </c>
      <c r="J736" s="351">
        <f t="shared" si="21"/>
        <v>0</v>
      </c>
      <c r="K736" s="322"/>
    </row>
    <row r="737" spans="1:11" s="6" customFormat="1" ht="25.5">
      <c r="A737" s="46" t="s">
        <v>92</v>
      </c>
      <c r="B737" s="117" t="s">
        <v>638</v>
      </c>
      <c r="C737" s="117"/>
      <c r="D737" s="178">
        <f>D738</f>
        <v>720</v>
      </c>
      <c r="E737" s="322"/>
      <c r="F737" s="322"/>
      <c r="G737" s="322"/>
      <c r="H737" s="178">
        <f t="shared" si="23"/>
        <v>720</v>
      </c>
      <c r="I737" s="178">
        <f t="shared" si="23"/>
        <v>0</v>
      </c>
      <c r="J737" s="351">
        <f t="shared" si="21"/>
        <v>0</v>
      </c>
      <c r="K737" s="322"/>
    </row>
    <row r="738" spans="1:11" s="6" customFormat="1" ht="38.25">
      <c r="A738" s="60" t="s">
        <v>116</v>
      </c>
      <c r="B738" s="117" t="s">
        <v>638</v>
      </c>
      <c r="C738" s="117" t="s">
        <v>198</v>
      </c>
      <c r="D738" s="178">
        <f>D739</f>
        <v>720</v>
      </c>
      <c r="E738" s="322"/>
      <c r="F738" s="322"/>
      <c r="G738" s="322"/>
      <c r="H738" s="178">
        <f t="shared" si="23"/>
        <v>720</v>
      </c>
      <c r="I738" s="178">
        <f t="shared" si="23"/>
        <v>0</v>
      </c>
      <c r="J738" s="351">
        <f t="shared" si="21"/>
        <v>0</v>
      </c>
      <c r="K738" s="322"/>
    </row>
    <row r="739" spans="1:11" s="6" customFormat="1" ht="12.75">
      <c r="A739" s="60" t="s">
        <v>193</v>
      </c>
      <c r="B739" s="117" t="s">
        <v>638</v>
      </c>
      <c r="C739" s="117" t="s">
        <v>194</v>
      </c>
      <c r="D739" s="178">
        <v>720</v>
      </c>
      <c r="E739" s="322"/>
      <c r="F739" s="322"/>
      <c r="G739" s="322"/>
      <c r="H739" s="178">
        <v>720</v>
      </c>
      <c r="I739" s="178">
        <f>D739-H739</f>
        <v>0</v>
      </c>
      <c r="J739" s="351">
        <f t="shared" si="21"/>
        <v>0</v>
      </c>
      <c r="K739" s="322"/>
    </row>
    <row r="740" spans="1:11" s="6" customFormat="1" ht="25.5">
      <c r="A740" s="129" t="s">
        <v>527</v>
      </c>
      <c r="B740" s="127" t="s">
        <v>71</v>
      </c>
      <c r="C740" s="132"/>
      <c r="D740" s="193">
        <f>D741+D745</f>
        <v>2639.3</v>
      </c>
      <c r="E740" s="322"/>
      <c r="F740" s="322"/>
      <c r="G740" s="322"/>
      <c r="H740" s="193">
        <f>H741+H745</f>
        <v>2639.3</v>
      </c>
      <c r="I740" s="193">
        <f>I741+I745</f>
        <v>0</v>
      </c>
      <c r="J740" s="351">
        <f t="shared" si="21"/>
        <v>0</v>
      </c>
      <c r="K740" s="322"/>
    </row>
    <row r="741" spans="1:11" s="6" customFormat="1" ht="25.5">
      <c r="A741" s="46" t="s">
        <v>639</v>
      </c>
      <c r="B741" s="117" t="s">
        <v>72</v>
      </c>
      <c r="C741" s="123"/>
      <c r="D741" s="183">
        <f>D742</f>
        <v>1451.9</v>
      </c>
      <c r="E741" s="322"/>
      <c r="F741" s="322"/>
      <c r="G741" s="322"/>
      <c r="H741" s="183">
        <f aca="true" t="shared" si="24" ref="H741:I743">H742</f>
        <v>1451.9</v>
      </c>
      <c r="I741" s="183">
        <f t="shared" si="24"/>
        <v>0</v>
      </c>
      <c r="J741" s="351">
        <f t="shared" si="21"/>
        <v>0</v>
      </c>
      <c r="K741" s="322"/>
    </row>
    <row r="742" spans="1:11" s="6" customFormat="1" ht="12.75">
      <c r="A742" s="46" t="s">
        <v>103</v>
      </c>
      <c r="B742" s="117" t="s">
        <v>73</v>
      </c>
      <c r="C742" s="123"/>
      <c r="D742" s="183">
        <f>D743</f>
        <v>1451.9</v>
      </c>
      <c r="E742" s="322"/>
      <c r="F742" s="322"/>
      <c r="G742" s="322"/>
      <c r="H742" s="183">
        <f t="shared" si="24"/>
        <v>1451.9</v>
      </c>
      <c r="I742" s="183">
        <f t="shared" si="24"/>
        <v>0</v>
      </c>
      <c r="J742" s="351">
        <f t="shared" si="21"/>
        <v>0</v>
      </c>
      <c r="K742" s="322"/>
    </row>
    <row r="743" spans="1:11" s="6" customFormat="1" ht="38.25">
      <c r="A743" s="60" t="s">
        <v>116</v>
      </c>
      <c r="B743" s="117" t="s">
        <v>73</v>
      </c>
      <c r="C743" s="117" t="s">
        <v>198</v>
      </c>
      <c r="D743" s="183">
        <f>D744</f>
        <v>1451.9</v>
      </c>
      <c r="E743" s="322"/>
      <c r="F743" s="322"/>
      <c r="G743" s="322"/>
      <c r="H743" s="183">
        <f t="shared" si="24"/>
        <v>1451.9</v>
      </c>
      <c r="I743" s="183">
        <f t="shared" si="24"/>
        <v>0</v>
      </c>
      <c r="J743" s="351">
        <f t="shared" si="21"/>
        <v>0</v>
      </c>
      <c r="K743" s="322"/>
    </row>
    <row r="744" spans="1:11" s="6" customFormat="1" ht="12.75">
      <c r="A744" s="63" t="s">
        <v>193</v>
      </c>
      <c r="B744" s="117" t="s">
        <v>73</v>
      </c>
      <c r="C744" s="117" t="s">
        <v>194</v>
      </c>
      <c r="D744" s="186">
        <f>1777-325.1</f>
        <v>1451.9</v>
      </c>
      <c r="E744" s="322"/>
      <c r="F744" s="322"/>
      <c r="G744" s="322"/>
      <c r="H744" s="186">
        <f>1777-325.1</f>
        <v>1451.9</v>
      </c>
      <c r="I744" s="178">
        <f>D744-H744</f>
        <v>0</v>
      </c>
      <c r="J744" s="351">
        <f t="shared" si="21"/>
        <v>0</v>
      </c>
      <c r="K744" s="322"/>
    </row>
    <row r="745" spans="1:11" s="6" customFormat="1" ht="12.75">
      <c r="A745" s="74" t="s">
        <v>528</v>
      </c>
      <c r="B745" s="117" t="s">
        <v>640</v>
      </c>
      <c r="C745" s="117"/>
      <c r="D745" s="186">
        <f>D746</f>
        <v>1187.4</v>
      </c>
      <c r="E745" s="322"/>
      <c r="F745" s="322"/>
      <c r="G745" s="322"/>
      <c r="H745" s="186">
        <f>H746</f>
        <v>1187.4</v>
      </c>
      <c r="I745" s="186">
        <f>I746</f>
        <v>0</v>
      </c>
      <c r="J745" s="351">
        <f t="shared" si="21"/>
        <v>0</v>
      </c>
      <c r="K745" s="322"/>
    </row>
    <row r="746" spans="1:11" s="6" customFormat="1" ht="12.75">
      <c r="A746" s="46" t="s">
        <v>103</v>
      </c>
      <c r="B746" s="117" t="s">
        <v>641</v>
      </c>
      <c r="C746" s="123"/>
      <c r="D746" s="183">
        <f>D747+D749</f>
        <v>1187.4</v>
      </c>
      <c r="E746" s="322"/>
      <c r="F746" s="322"/>
      <c r="G746" s="322"/>
      <c r="H746" s="183">
        <f>H747+H749</f>
        <v>1187.4</v>
      </c>
      <c r="I746" s="183">
        <f>I747+I749</f>
        <v>0</v>
      </c>
      <c r="J746" s="351">
        <f t="shared" si="21"/>
        <v>0</v>
      </c>
      <c r="K746" s="322"/>
    </row>
    <row r="747" spans="1:11" s="6" customFormat="1" ht="38.25">
      <c r="A747" s="60" t="s">
        <v>116</v>
      </c>
      <c r="B747" s="117" t="s">
        <v>641</v>
      </c>
      <c r="C747" s="117" t="s">
        <v>198</v>
      </c>
      <c r="D747" s="183">
        <f>D748</f>
        <v>1147.5</v>
      </c>
      <c r="E747" s="322"/>
      <c r="F747" s="322"/>
      <c r="G747" s="322"/>
      <c r="H747" s="183">
        <f>H748</f>
        <v>1147.5</v>
      </c>
      <c r="I747" s="183">
        <f>I748</f>
        <v>0</v>
      </c>
      <c r="J747" s="351">
        <f t="shared" si="21"/>
        <v>0</v>
      </c>
      <c r="K747" s="322"/>
    </row>
    <row r="748" spans="1:11" s="6" customFormat="1" ht="12.75">
      <c r="A748" s="63" t="s">
        <v>193</v>
      </c>
      <c r="B748" s="117" t="s">
        <v>641</v>
      </c>
      <c r="C748" s="117" t="s">
        <v>194</v>
      </c>
      <c r="D748" s="186">
        <f>1317-169.5</f>
        <v>1147.5</v>
      </c>
      <c r="E748" s="322"/>
      <c r="F748" s="322"/>
      <c r="G748" s="322"/>
      <c r="H748" s="186">
        <f>1317-169.5</f>
        <v>1147.5</v>
      </c>
      <c r="I748" s="178">
        <f>D748-H748</f>
        <v>0</v>
      </c>
      <c r="J748" s="351">
        <f t="shared" si="21"/>
        <v>0</v>
      </c>
      <c r="K748" s="322"/>
    </row>
    <row r="749" spans="1:11" s="6" customFormat="1" ht="12.75">
      <c r="A749" s="60" t="s">
        <v>226</v>
      </c>
      <c r="B749" s="117" t="s">
        <v>641</v>
      </c>
      <c r="C749" s="117" t="s">
        <v>188</v>
      </c>
      <c r="D749" s="178">
        <f>D750</f>
        <v>39.9</v>
      </c>
      <c r="E749" s="322"/>
      <c r="F749" s="322"/>
      <c r="G749" s="322"/>
      <c r="H749" s="178">
        <f>H750</f>
        <v>39.9</v>
      </c>
      <c r="I749" s="178">
        <f>I750</f>
        <v>0</v>
      </c>
      <c r="J749" s="351">
        <f t="shared" si="21"/>
        <v>0</v>
      </c>
      <c r="K749" s="322"/>
    </row>
    <row r="750" spans="1:11" s="6" customFormat="1" ht="12.75">
      <c r="A750" s="60" t="s">
        <v>189</v>
      </c>
      <c r="B750" s="117" t="s">
        <v>641</v>
      </c>
      <c r="C750" s="117" t="s">
        <v>187</v>
      </c>
      <c r="D750" s="178">
        <v>39.9</v>
      </c>
      <c r="E750" s="322"/>
      <c r="F750" s="322"/>
      <c r="G750" s="322"/>
      <c r="H750" s="178">
        <v>39.9</v>
      </c>
      <c r="I750" s="178">
        <f>D750-H750</f>
        <v>0</v>
      </c>
      <c r="J750" s="351">
        <f t="shared" si="21"/>
        <v>0</v>
      </c>
      <c r="K750" s="322"/>
    </row>
    <row r="751" spans="1:11" s="6" customFormat="1" ht="12.75">
      <c r="A751" s="109" t="s">
        <v>23</v>
      </c>
      <c r="B751" s="127" t="s">
        <v>24</v>
      </c>
      <c r="C751" s="134"/>
      <c r="D751" s="177">
        <f>D752</f>
        <v>1467.6000000000001</v>
      </c>
      <c r="E751" s="322"/>
      <c r="F751" s="322"/>
      <c r="G751" s="322"/>
      <c r="H751" s="177">
        <f>H752</f>
        <v>964</v>
      </c>
      <c r="I751" s="177">
        <f>I752</f>
        <v>503.6</v>
      </c>
      <c r="J751" s="351">
        <f t="shared" si="21"/>
        <v>503.60000000000014</v>
      </c>
      <c r="K751" s="322"/>
    </row>
    <row r="752" spans="1:11" s="6" customFormat="1" ht="12.75">
      <c r="A752" s="50" t="s">
        <v>23</v>
      </c>
      <c r="B752" s="117" t="s">
        <v>214</v>
      </c>
      <c r="C752" s="117"/>
      <c r="D752" s="178">
        <f>D753+D755</f>
        <v>1467.6000000000001</v>
      </c>
      <c r="E752" s="322"/>
      <c r="F752" s="322"/>
      <c r="G752" s="322"/>
      <c r="H752" s="178">
        <f>H753+H755</f>
        <v>964</v>
      </c>
      <c r="I752" s="178">
        <f>I753+I755</f>
        <v>503.6</v>
      </c>
      <c r="J752" s="351">
        <f t="shared" si="21"/>
        <v>503.60000000000014</v>
      </c>
      <c r="K752" s="322"/>
    </row>
    <row r="753" spans="1:11" s="6" customFormat="1" ht="12.75">
      <c r="A753" s="60" t="s">
        <v>226</v>
      </c>
      <c r="B753" s="117" t="s">
        <v>214</v>
      </c>
      <c r="C753" s="117" t="s">
        <v>188</v>
      </c>
      <c r="D753" s="178">
        <f>SUM(D754)</f>
        <v>21.700000000000003</v>
      </c>
      <c r="E753" s="322"/>
      <c r="F753" s="322"/>
      <c r="G753" s="322"/>
      <c r="H753" s="178">
        <f>SUM(H754)</f>
        <v>14.3</v>
      </c>
      <c r="I753" s="178">
        <f>SUM(I754)</f>
        <v>7.400000000000002</v>
      </c>
      <c r="J753" s="351">
        <f t="shared" si="21"/>
        <v>7.400000000000002</v>
      </c>
      <c r="K753" s="322"/>
    </row>
    <row r="754" spans="1:11" s="6" customFormat="1" ht="12.75">
      <c r="A754" s="60" t="s">
        <v>189</v>
      </c>
      <c r="B754" s="117" t="s">
        <v>214</v>
      </c>
      <c r="C754" s="117" t="s">
        <v>187</v>
      </c>
      <c r="D754" s="178">
        <f>14.3+7.4</f>
        <v>21.700000000000003</v>
      </c>
      <c r="E754" s="322"/>
      <c r="F754" s="322"/>
      <c r="G754" s="322"/>
      <c r="H754" s="178">
        <v>14.3</v>
      </c>
      <c r="I754" s="178">
        <f>D754-H754</f>
        <v>7.400000000000002</v>
      </c>
      <c r="J754" s="351">
        <f t="shared" si="21"/>
        <v>7.400000000000002</v>
      </c>
      <c r="K754" s="322"/>
    </row>
    <row r="755" spans="1:11" s="6" customFormat="1" ht="12.75">
      <c r="A755" s="46" t="s">
        <v>89</v>
      </c>
      <c r="B755" s="117" t="s">
        <v>214</v>
      </c>
      <c r="C755" s="117" t="s">
        <v>85</v>
      </c>
      <c r="D755" s="178">
        <f>SUM(D756)</f>
        <v>1445.9</v>
      </c>
      <c r="E755" s="322"/>
      <c r="F755" s="322"/>
      <c r="G755" s="322"/>
      <c r="H755" s="178">
        <f>SUM(H756)</f>
        <v>949.7</v>
      </c>
      <c r="I755" s="178">
        <f>SUM(I756)</f>
        <v>496.20000000000005</v>
      </c>
      <c r="J755" s="351">
        <f t="shared" si="21"/>
        <v>496.20000000000005</v>
      </c>
      <c r="K755" s="322"/>
    </row>
    <row r="756" spans="1:11" s="6" customFormat="1" ht="12.75">
      <c r="A756" s="46" t="s">
        <v>424</v>
      </c>
      <c r="B756" s="117" t="s">
        <v>214</v>
      </c>
      <c r="C756" s="117" t="s">
        <v>423</v>
      </c>
      <c r="D756" s="178">
        <f>949.7+496.2</f>
        <v>1445.9</v>
      </c>
      <c r="E756" s="322"/>
      <c r="F756" s="322"/>
      <c r="G756" s="322"/>
      <c r="H756" s="178">
        <v>949.7</v>
      </c>
      <c r="I756" s="178">
        <f>D756-H756</f>
        <v>496.20000000000005</v>
      </c>
      <c r="J756" s="351">
        <f t="shared" si="21"/>
        <v>496.20000000000005</v>
      </c>
      <c r="K756" s="322"/>
    </row>
    <row r="757" spans="1:11" s="6" customFormat="1" ht="12.75">
      <c r="A757" s="129" t="s">
        <v>163</v>
      </c>
      <c r="B757" s="133" t="s">
        <v>64</v>
      </c>
      <c r="C757" s="127"/>
      <c r="D757" s="177">
        <f>D758</f>
        <v>350</v>
      </c>
      <c r="E757" s="322"/>
      <c r="F757" s="322"/>
      <c r="G757" s="322"/>
      <c r="H757" s="177">
        <f aca="true" t="shared" si="25" ref="H757:I759">H758</f>
        <v>350</v>
      </c>
      <c r="I757" s="177">
        <f t="shared" si="25"/>
        <v>0</v>
      </c>
      <c r="J757" s="351">
        <f t="shared" si="21"/>
        <v>0</v>
      </c>
      <c r="K757" s="322"/>
    </row>
    <row r="758" spans="1:11" s="6" customFormat="1" ht="12.75">
      <c r="A758" s="46" t="s">
        <v>625</v>
      </c>
      <c r="B758" s="117" t="s">
        <v>65</v>
      </c>
      <c r="C758" s="87"/>
      <c r="D758" s="178">
        <f>D759</f>
        <v>350</v>
      </c>
      <c r="E758" s="322"/>
      <c r="F758" s="322"/>
      <c r="G758" s="322"/>
      <c r="H758" s="178">
        <f t="shared" si="25"/>
        <v>350</v>
      </c>
      <c r="I758" s="178">
        <f t="shared" si="25"/>
        <v>0</v>
      </c>
      <c r="J758" s="351">
        <f t="shared" si="21"/>
        <v>0</v>
      </c>
      <c r="K758" s="322"/>
    </row>
    <row r="759" spans="1:11" s="6" customFormat="1" ht="12.75">
      <c r="A759" s="46" t="s">
        <v>90</v>
      </c>
      <c r="B759" s="117" t="s">
        <v>65</v>
      </c>
      <c r="C759" s="87">
        <v>800</v>
      </c>
      <c r="D759" s="178">
        <f>D760</f>
        <v>350</v>
      </c>
      <c r="E759" s="322"/>
      <c r="F759" s="322"/>
      <c r="G759" s="322"/>
      <c r="H759" s="178">
        <f t="shared" si="25"/>
        <v>350</v>
      </c>
      <c r="I759" s="178">
        <f t="shared" si="25"/>
        <v>0</v>
      </c>
      <c r="J759" s="351">
        <f t="shared" si="21"/>
        <v>0</v>
      </c>
      <c r="K759" s="322"/>
    </row>
    <row r="760" spans="1:11" s="6" customFormat="1" ht="12.75">
      <c r="A760" s="46" t="s">
        <v>91</v>
      </c>
      <c r="B760" s="117" t="s">
        <v>65</v>
      </c>
      <c r="C760" s="87">
        <v>870</v>
      </c>
      <c r="D760" s="178">
        <v>350</v>
      </c>
      <c r="E760" s="322"/>
      <c r="F760" s="322"/>
      <c r="G760" s="322"/>
      <c r="H760" s="178">
        <v>350</v>
      </c>
      <c r="I760" s="178">
        <f>D760-H760</f>
        <v>0</v>
      </c>
      <c r="J760" s="351">
        <f t="shared" si="21"/>
        <v>0</v>
      </c>
      <c r="K760" s="322"/>
    </row>
    <row r="761" spans="1:11" s="6" customFormat="1" ht="25.5">
      <c r="A761" s="129" t="s">
        <v>286</v>
      </c>
      <c r="B761" s="133" t="s">
        <v>285</v>
      </c>
      <c r="C761" s="127"/>
      <c r="D761" s="177">
        <f>D762+D769+D766</f>
        <v>86969.7</v>
      </c>
      <c r="E761" s="322"/>
      <c r="F761" s="322"/>
      <c r="G761" s="322"/>
      <c r="H761" s="177">
        <f>H762+H769+H766</f>
        <v>86969.74</v>
      </c>
      <c r="I761" s="177">
        <f>I762+I769+I766</f>
        <v>-0.040000000000873115</v>
      </c>
      <c r="J761" s="351">
        <f t="shared" si="21"/>
        <v>-0.04000000000814907</v>
      </c>
      <c r="K761" s="322"/>
    </row>
    <row r="762" spans="1:11" s="6" customFormat="1" ht="12.75">
      <c r="A762" s="46" t="s">
        <v>243</v>
      </c>
      <c r="B762" s="115" t="s">
        <v>287</v>
      </c>
      <c r="C762" s="87"/>
      <c r="D762" s="178">
        <f>D763</f>
        <v>1655</v>
      </c>
      <c r="E762" s="322"/>
      <c r="F762" s="322"/>
      <c r="G762" s="322"/>
      <c r="H762" s="178">
        <f>H763</f>
        <v>1655</v>
      </c>
      <c r="I762" s="178">
        <f>I763</f>
        <v>0</v>
      </c>
      <c r="J762" s="351">
        <f t="shared" si="21"/>
        <v>0</v>
      </c>
      <c r="K762" s="322"/>
    </row>
    <row r="763" spans="1:11" s="6" customFormat="1" ht="12.75">
      <c r="A763" s="84" t="s">
        <v>90</v>
      </c>
      <c r="B763" s="115" t="s">
        <v>287</v>
      </c>
      <c r="C763" s="87">
        <v>800</v>
      </c>
      <c r="D763" s="178">
        <f aca="true" t="shared" si="26" ref="D763:I763">D764+D765</f>
        <v>1655</v>
      </c>
      <c r="E763" s="178">
        <f t="shared" si="26"/>
        <v>0</v>
      </c>
      <c r="F763" s="178">
        <f t="shared" si="26"/>
        <v>0</v>
      </c>
      <c r="G763" s="178">
        <f t="shared" si="26"/>
        <v>0</v>
      </c>
      <c r="H763" s="178">
        <f>H764+H765</f>
        <v>1655</v>
      </c>
      <c r="I763" s="178">
        <f t="shared" si="26"/>
        <v>0</v>
      </c>
      <c r="J763" s="351">
        <f t="shared" si="21"/>
        <v>0</v>
      </c>
      <c r="K763" s="322"/>
    </row>
    <row r="764" spans="1:11" s="6" customFormat="1" ht="12.75">
      <c r="A764" s="84" t="s">
        <v>288</v>
      </c>
      <c r="B764" s="115" t="s">
        <v>287</v>
      </c>
      <c r="C764" s="87">
        <v>830</v>
      </c>
      <c r="D764" s="178">
        <v>1525</v>
      </c>
      <c r="E764" s="322"/>
      <c r="F764" s="322"/>
      <c r="G764" s="322"/>
      <c r="H764" s="178">
        <f>1655-80</f>
        <v>1575</v>
      </c>
      <c r="I764" s="178">
        <f>D764-H764</f>
        <v>-50</v>
      </c>
      <c r="J764" s="351">
        <f t="shared" si="21"/>
        <v>-50</v>
      </c>
      <c r="K764" s="322"/>
    </row>
    <row r="765" spans="1:11" s="6" customFormat="1" ht="12.75">
      <c r="A765" s="64" t="s">
        <v>209</v>
      </c>
      <c r="B765" s="115" t="s">
        <v>287</v>
      </c>
      <c r="C765" s="87">
        <v>850</v>
      </c>
      <c r="D765" s="178">
        <v>130</v>
      </c>
      <c r="E765" s="322"/>
      <c r="F765" s="322"/>
      <c r="G765" s="322"/>
      <c r="H765" s="178">
        <v>80</v>
      </c>
      <c r="I765" s="178">
        <f>D765-H765</f>
        <v>50</v>
      </c>
      <c r="J765" s="351">
        <f t="shared" si="21"/>
        <v>50</v>
      </c>
      <c r="K765" s="322"/>
    </row>
    <row r="766" spans="1:11" s="6" customFormat="1" ht="12.75">
      <c r="A766" s="46" t="s">
        <v>634</v>
      </c>
      <c r="B766" s="115" t="s">
        <v>608</v>
      </c>
      <c r="C766" s="87"/>
      <c r="D766" s="178">
        <f>D767</f>
        <v>28300.7</v>
      </c>
      <c r="E766" s="322"/>
      <c r="F766" s="322"/>
      <c r="G766" s="322"/>
      <c r="H766" s="178">
        <f>H767</f>
        <v>28300.74</v>
      </c>
      <c r="I766" s="178">
        <f>I767</f>
        <v>-0.040000000000873115</v>
      </c>
      <c r="J766" s="351">
        <f t="shared" si="21"/>
        <v>-0.040000000000873115</v>
      </c>
      <c r="K766" s="322"/>
    </row>
    <row r="767" spans="1:11" s="6" customFormat="1" ht="12.75">
      <c r="A767" s="46" t="s">
        <v>90</v>
      </c>
      <c r="B767" s="115" t="s">
        <v>608</v>
      </c>
      <c r="C767" s="87">
        <v>800</v>
      </c>
      <c r="D767" s="178">
        <f>D768</f>
        <v>28300.7</v>
      </c>
      <c r="E767" s="322"/>
      <c r="F767" s="322"/>
      <c r="G767" s="322"/>
      <c r="H767" s="178">
        <f>H768</f>
        <v>28300.74</v>
      </c>
      <c r="I767" s="178">
        <f>I768</f>
        <v>-0.040000000000873115</v>
      </c>
      <c r="J767" s="351">
        <f t="shared" si="21"/>
        <v>-0.040000000000873115</v>
      </c>
      <c r="K767" s="322"/>
    </row>
    <row r="768" spans="1:11" s="6" customFormat="1" ht="12.75">
      <c r="A768" s="46" t="s">
        <v>91</v>
      </c>
      <c r="B768" s="115" t="s">
        <v>608</v>
      </c>
      <c r="C768" s="87">
        <v>870</v>
      </c>
      <c r="D768" s="178">
        <f>20566.2+7734.5</f>
        <v>28300.7</v>
      </c>
      <c r="E768" s="322"/>
      <c r="F768" s="322"/>
      <c r="G768" s="322"/>
      <c r="H768" s="178">
        <f>20566.2+7734.54</f>
        <v>28300.74</v>
      </c>
      <c r="I768" s="178">
        <f>D768-H768</f>
        <v>-0.040000000000873115</v>
      </c>
      <c r="J768" s="351">
        <f t="shared" si="21"/>
        <v>-0.040000000000873115</v>
      </c>
      <c r="K768" s="322"/>
    </row>
    <row r="769" spans="1:11" s="6" customFormat="1" ht="25.5">
      <c r="A769" s="73" t="s">
        <v>486</v>
      </c>
      <c r="B769" s="117" t="s">
        <v>517</v>
      </c>
      <c r="C769" s="117"/>
      <c r="D769" s="178">
        <f>D770</f>
        <v>57014</v>
      </c>
      <c r="E769" s="322"/>
      <c r="F769" s="322"/>
      <c r="G769" s="322"/>
      <c r="H769" s="178">
        <f>H770</f>
        <v>57014</v>
      </c>
      <c r="I769" s="178">
        <f>I770</f>
        <v>0</v>
      </c>
      <c r="J769" s="351">
        <f t="shared" si="21"/>
        <v>0</v>
      </c>
      <c r="K769" s="322"/>
    </row>
    <row r="770" spans="1:11" s="6" customFormat="1" ht="12.75">
      <c r="A770" s="60" t="s">
        <v>226</v>
      </c>
      <c r="B770" s="117" t="s">
        <v>517</v>
      </c>
      <c r="C770" s="117" t="s">
        <v>188</v>
      </c>
      <c r="D770" s="178">
        <f>D771</f>
        <v>57014</v>
      </c>
      <c r="E770" s="322"/>
      <c r="F770" s="322"/>
      <c r="G770" s="322"/>
      <c r="H770" s="178">
        <f>H771</f>
        <v>57014</v>
      </c>
      <c r="I770" s="178">
        <f>I771</f>
        <v>0</v>
      </c>
      <c r="J770" s="351">
        <f t="shared" si="21"/>
        <v>0</v>
      </c>
      <c r="K770" s="322"/>
    </row>
    <row r="771" spans="1:11" s="6" customFormat="1" ht="12.75">
      <c r="A771" s="60" t="s">
        <v>189</v>
      </c>
      <c r="B771" s="117" t="s">
        <v>517</v>
      </c>
      <c r="C771" s="117" t="s">
        <v>187</v>
      </c>
      <c r="D771" s="178">
        <v>57014</v>
      </c>
      <c r="E771" s="322"/>
      <c r="F771" s="322"/>
      <c r="G771" s="322"/>
      <c r="H771" s="178">
        <v>57014</v>
      </c>
      <c r="I771" s="178">
        <f>D771-H771</f>
        <v>0</v>
      </c>
      <c r="J771" s="351">
        <f t="shared" si="21"/>
        <v>0</v>
      </c>
      <c r="K771" s="322"/>
    </row>
    <row r="772" spans="1:11" s="6" customFormat="1" ht="12.75">
      <c r="A772" s="301" t="s">
        <v>186</v>
      </c>
      <c r="B772" s="358"/>
      <c r="C772" s="358"/>
      <c r="D772" s="194">
        <f>D5+D18+D184+D204+D209+D222+D238+D250+D278+D291+D335+D349+D442+D460+D467+D482+D488+D518+D525+D559+D570+D582+D630+D648+D692+D698+D705+D711+D725+D740+D751+D757+D761+D529</f>
        <v>1684935.7209999997</v>
      </c>
      <c r="E772" s="322"/>
      <c r="F772" s="322"/>
      <c r="G772" s="322"/>
      <c r="H772" s="194">
        <f>H5+H18+H184+H204+H209+H222+H238+H250+H278+H291+H335+H349+H442+H460+H467+H482+H488+H518+H525+H529+H559+H570+H582+H630+H648+H692+H698+H705+H711+H725+H740+H751+H761+H757</f>
        <v>1678234.624</v>
      </c>
      <c r="I772" s="194">
        <f>I5+I18+I184+I204+I209+I222+I238+I250+I278+I291+I335+I349+I442+I460+I467+I482+I488+I518+I525+I529+I559+I570+I582+I630+I648+I692+I698+I705+I711+I725+I740+I751+I761+I757</f>
        <v>6701.097000000002</v>
      </c>
      <c r="J772" s="351">
        <f t="shared" si="21"/>
        <v>6701.096999999601</v>
      </c>
      <c r="K772" s="322"/>
    </row>
    <row r="773" spans="1:11" s="6" customFormat="1" ht="12.75">
      <c r="A773" s="359"/>
      <c r="B773" s="360"/>
      <c r="C773" s="360"/>
      <c r="D773" s="195"/>
      <c r="E773" s="322"/>
      <c r="F773" s="322"/>
      <c r="G773" s="322"/>
      <c r="H773" s="195"/>
      <c r="I773" s="195"/>
      <c r="J773" s="322"/>
      <c r="K773" s="322"/>
    </row>
    <row r="774" spans="1:11" s="6" customFormat="1" ht="12.75">
      <c r="A774" s="359"/>
      <c r="B774" s="360"/>
      <c r="C774" s="360"/>
      <c r="D774" s="196"/>
      <c r="E774" s="322"/>
      <c r="F774" s="322"/>
      <c r="G774" s="322"/>
      <c r="H774" s="196"/>
      <c r="I774" s="196"/>
      <c r="J774" s="322"/>
      <c r="K774" s="322"/>
    </row>
    <row r="775" spans="1:11" s="6" customFormat="1" ht="12.75">
      <c r="A775" s="359"/>
      <c r="B775" s="360"/>
      <c r="C775" s="360"/>
      <c r="D775" s="196"/>
      <c r="E775" s="322"/>
      <c r="F775" s="322"/>
      <c r="G775" s="322"/>
      <c r="H775" s="196"/>
      <c r="I775" s="196"/>
      <c r="J775" s="322"/>
      <c r="K775" s="322"/>
    </row>
    <row r="776" spans="1:11" s="6" customFormat="1" ht="12.75">
      <c r="A776" s="359"/>
      <c r="B776" s="360"/>
      <c r="C776" s="360"/>
      <c r="D776" s="196"/>
      <c r="E776" s="322"/>
      <c r="F776" s="322"/>
      <c r="G776" s="322"/>
      <c r="H776" s="196"/>
      <c r="I776" s="196"/>
      <c r="J776" s="322"/>
      <c r="K776" s="322"/>
    </row>
    <row r="777" spans="1:11" s="6" customFormat="1" ht="12.75">
      <c r="A777" s="359"/>
      <c r="B777" s="360"/>
      <c r="C777" s="360"/>
      <c r="D777" s="196"/>
      <c r="E777" s="322"/>
      <c r="F777" s="322"/>
      <c r="G777" s="322"/>
      <c r="H777" s="196"/>
      <c r="I777" s="196"/>
      <c r="J777" s="322"/>
      <c r="K777" s="322"/>
    </row>
    <row r="778" spans="1:11" s="6" customFormat="1" ht="12.75">
      <c r="A778" s="359"/>
      <c r="B778" s="360"/>
      <c r="C778" s="360"/>
      <c r="D778" s="196"/>
      <c r="E778" s="322"/>
      <c r="F778" s="322"/>
      <c r="G778" s="322"/>
      <c r="H778" s="196"/>
      <c r="I778" s="196"/>
      <c r="J778" s="322"/>
      <c r="K778" s="322"/>
    </row>
    <row r="779" spans="1:11" s="13" customFormat="1" ht="15.75">
      <c r="A779" s="359"/>
      <c r="B779" s="360"/>
      <c r="C779" s="360"/>
      <c r="D779" s="196"/>
      <c r="E779" s="31"/>
      <c r="F779" s="31"/>
      <c r="G779" s="31"/>
      <c r="H779" s="196"/>
      <c r="I779" s="196"/>
      <c r="J779" s="31"/>
      <c r="K779" s="31"/>
    </row>
    <row r="780" spans="1:11" s="13" customFormat="1" ht="15.75">
      <c r="A780" s="359"/>
      <c r="B780" s="360"/>
      <c r="C780" s="360"/>
      <c r="D780" s="196"/>
      <c r="E780" s="31"/>
      <c r="F780" s="31"/>
      <c r="G780" s="31"/>
      <c r="H780" s="196"/>
      <c r="I780" s="196"/>
      <c r="J780" s="31"/>
      <c r="K780" s="31"/>
    </row>
    <row r="781" spans="1:11" s="13" customFormat="1" ht="15.75">
      <c r="A781" s="359"/>
      <c r="B781" s="360"/>
      <c r="C781" s="360"/>
      <c r="D781" s="196"/>
      <c r="E781" s="31"/>
      <c r="F781" s="31"/>
      <c r="G781" s="31"/>
      <c r="H781" s="196"/>
      <c r="I781" s="196"/>
      <c r="J781" s="31"/>
      <c r="K781" s="31"/>
    </row>
    <row r="782" spans="1:11" s="13" customFormat="1" ht="15.75">
      <c r="A782" s="359"/>
      <c r="B782" s="360"/>
      <c r="C782" s="360"/>
      <c r="D782" s="196"/>
      <c r="E782" s="31"/>
      <c r="F782" s="31"/>
      <c r="G782" s="31"/>
      <c r="H782" s="196"/>
      <c r="I782" s="196"/>
      <c r="J782" s="31"/>
      <c r="K782" s="31"/>
    </row>
    <row r="783" spans="1:11" s="13" customFormat="1" ht="15.75">
      <c r="A783" s="359"/>
      <c r="B783" s="360"/>
      <c r="C783" s="360"/>
      <c r="D783" s="196"/>
      <c r="E783" s="31"/>
      <c r="F783" s="31"/>
      <c r="G783" s="31"/>
      <c r="H783" s="196"/>
      <c r="I783" s="196"/>
      <c r="J783" s="31"/>
      <c r="K783" s="31"/>
    </row>
    <row r="784" spans="1:11" s="13" customFormat="1" ht="15.75">
      <c r="A784" s="359"/>
      <c r="B784" s="360"/>
      <c r="C784" s="360"/>
      <c r="D784" s="196"/>
      <c r="E784" s="31"/>
      <c r="F784" s="31"/>
      <c r="G784" s="31"/>
      <c r="H784" s="196"/>
      <c r="I784" s="196"/>
      <c r="J784" s="31"/>
      <c r="K784" s="31"/>
    </row>
    <row r="785" spans="1:11" s="13" customFormat="1" ht="15.75">
      <c r="A785" s="359"/>
      <c r="B785" s="360"/>
      <c r="C785" s="360"/>
      <c r="D785" s="196"/>
      <c r="E785" s="31"/>
      <c r="F785" s="31"/>
      <c r="G785" s="31"/>
      <c r="H785" s="196"/>
      <c r="I785" s="196"/>
      <c r="J785" s="31"/>
      <c r="K785" s="31"/>
    </row>
    <row r="786" spans="1:11" s="13" customFormat="1" ht="15.75">
      <c r="A786" s="359"/>
      <c r="B786" s="360"/>
      <c r="C786" s="360"/>
      <c r="D786" s="196"/>
      <c r="E786" s="31"/>
      <c r="F786" s="31"/>
      <c r="G786" s="31"/>
      <c r="H786" s="196"/>
      <c r="I786" s="196"/>
      <c r="J786" s="31"/>
      <c r="K786" s="31"/>
    </row>
    <row r="787" spans="1:11" s="13" customFormat="1" ht="15.75">
      <c r="A787" s="359"/>
      <c r="B787" s="360"/>
      <c r="C787" s="360"/>
      <c r="D787" s="196"/>
      <c r="E787" s="31"/>
      <c r="F787" s="31"/>
      <c r="G787" s="31"/>
      <c r="H787" s="196"/>
      <c r="I787" s="196"/>
      <c r="J787" s="31"/>
      <c r="K787" s="31"/>
    </row>
    <row r="788" spans="1:11" s="13" customFormat="1" ht="15.75">
      <c r="A788" s="359"/>
      <c r="B788" s="360"/>
      <c r="C788" s="360"/>
      <c r="D788" s="196"/>
      <c r="E788" s="31"/>
      <c r="F788" s="31"/>
      <c r="G788" s="31"/>
      <c r="H788" s="196"/>
      <c r="I788" s="196"/>
      <c r="J788" s="31"/>
      <c r="K788" s="31"/>
    </row>
    <row r="789" spans="1:11" s="13" customFormat="1" ht="15.75">
      <c r="A789" s="359"/>
      <c r="B789" s="360"/>
      <c r="C789" s="360"/>
      <c r="D789" s="196"/>
      <c r="E789" s="31"/>
      <c r="F789" s="31"/>
      <c r="G789" s="31"/>
      <c r="H789" s="196"/>
      <c r="I789" s="196"/>
      <c r="J789" s="31"/>
      <c r="K789" s="31"/>
    </row>
    <row r="790" spans="1:11" s="13" customFormat="1" ht="15.75">
      <c r="A790" s="359"/>
      <c r="B790" s="360"/>
      <c r="C790" s="360"/>
      <c r="D790" s="196"/>
      <c r="E790" s="31"/>
      <c r="F790" s="31"/>
      <c r="G790" s="31"/>
      <c r="H790" s="196"/>
      <c r="I790" s="196"/>
      <c r="J790" s="31"/>
      <c r="K790" s="31"/>
    </row>
    <row r="791" spans="1:11" s="13" customFormat="1" ht="15.75">
      <c r="A791" s="359"/>
      <c r="B791" s="360"/>
      <c r="C791" s="360"/>
      <c r="D791" s="196"/>
      <c r="E791" s="31"/>
      <c r="F791" s="31"/>
      <c r="G791" s="31"/>
      <c r="H791" s="196"/>
      <c r="I791" s="196"/>
      <c r="J791" s="31"/>
      <c r="K791" s="31"/>
    </row>
    <row r="792" spans="1:11" s="13" customFormat="1" ht="15.75">
      <c r="A792" s="359"/>
      <c r="B792" s="360"/>
      <c r="C792" s="360"/>
      <c r="D792" s="196"/>
      <c r="E792" s="31"/>
      <c r="F792" s="31"/>
      <c r="G792" s="31"/>
      <c r="H792" s="196"/>
      <c r="I792" s="196"/>
      <c r="J792" s="31"/>
      <c r="K792" s="31"/>
    </row>
    <row r="793" spans="1:11" s="13" customFormat="1" ht="15.75">
      <c r="A793" s="359"/>
      <c r="B793" s="360"/>
      <c r="C793" s="360"/>
      <c r="D793" s="196"/>
      <c r="E793" s="31"/>
      <c r="F793" s="31"/>
      <c r="G793" s="31"/>
      <c r="H793" s="196"/>
      <c r="I793" s="196"/>
      <c r="J793" s="31"/>
      <c r="K793" s="31"/>
    </row>
    <row r="794" spans="1:11" s="13" customFormat="1" ht="15.75">
      <c r="A794" s="359"/>
      <c r="B794" s="360"/>
      <c r="C794" s="360"/>
      <c r="D794" s="196"/>
      <c r="E794" s="31"/>
      <c r="F794" s="31"/>
      <c r="G794" s="31"/>
      <c r="H794" s="196"/>
      <c r="I794" s="196"/>
      <c r="J794" s="31"/>
      <c r="K794" s="31"/>
    </row>
    <row r="795" spans="1:11" s="13" customFormat="1" ht="15.75">
      <c r="A795" s="359"/>
      <c r="B795" s="360"/>
      <c r="C795" s="360"/>
      <c r="D795" s="196"/>
      <c r="E795" s="31"/>
      <c r="F795" s="31"/>
      <c r="G795" s="31"/>
      <c r="H795" s="196"/>
      <c r="I795" s="196"/>
      <c r="J795" s="31"/>
      <c r="K795" s="31"/>
    </row>
    <row r="796" spans="1:11" s="13" customFormat="1" ht="15.75">
      <c r="A796" s="359"/>
      <c r="B796" s="360"/>
      <c r="C796" s="360"/>
      <c r="D796" s="196"/>
      <c r="E796" s="31"/>
      <c r="F796" s="31"/>
      <c r="G796" s="31"/>
      <c r="H796" s="196"/>
      <c r="I796" s="196"/>
      <c r="J796" s="31"/>
      <c r="K796" s="31"/>
    </row>
    <row r="797" spans="1:11" s="13" customFormat="1" ht="15.75">
      <c r="A797" s="359"/>
      <c r="B797" s="360"/>
      <c r="C797" s="360"/>
      <c r="D797" s="196"/>
      <c r="E797" s="31"/>
      <c r="F797" s="31"/>
      <c r="G797" s="31"/>
      <c r="H797" s="196"/>
      <c r="I797" s="196"/>
      <c r="J797" s="31"/>
      <c r="K797" s="31"/>
    </row>
    <row r="798" spans="1:11" s="13" customFormat="1" ht="15.75">
      <c r="A798" s="359"/>
      <c r="B798" s="360"/>
      <c r="C798" s="360"/>
      <c r="D798" s="196"/>
      <c r="E798" s="31"/>
      <c r="F798" s="31"/>
      <c r="G798" s="31"/>
      <c r="H798" s="196"/>
      <c r="I798" s="196"/>
      <c r="J798" s="31"/>
      <c r="K798" s="31"/>
    </row>
    <row r="799" spans="1:11" s="13" customFormat="1" ht="15.75">
      <c r="A799" s="359"/>
      <c r="B799" s="360"/>
      <c r="C799" s="360"/>
      <c r="D799" s="196"/>
      <c r="E799" s="31"/>
      <c r="F799" s="31"/>
      <c r="G799" s="31"/>
      <c r="H799" s="196"/>
      <c r="I799" s="196"/>
      <c r="J799" s="31"/>
      <c r="K799" s="31"/>
    </row>
    <row r="800" spans="1:11" s="13" customFormat="1" ht="15.75">
      <c r="A800" s="359"/>
      <c r="B800" s="360"/>
      <c r="C800" s="360"/>
      <c r="D800" s="196"/>
      <c r="E800" s="31"/>
      <c r="F800" s="31"/>
      <c r="G800" s="31"/>
      <c r="H800" s="196"/>
      <c r="I800" s="196"/>
      <c r="J800" s="31"/>
      <c r="K800" s="31"/>
    </row>
    <row r="801" spans="1:11" s="13" customFormat="1" ht="15.75">
      <c r="A801" s="359"/>
      <c r="B801" s="360"/>
      <c r="C801" s="360"/>
      <c r="D801" s="196"/>
      <c r="E801" s="31"/>
      <c r="F801" s="31"/>
      <c r="G801" s="31"/>
      <c r="H801" s="196"/>
      <c r="I801" s="196"/>
      <c r="J801" s="31"/>
      <c r="K801" s="31"/>
    </row>
    <row r="802" spans="1:11" s="13" customFormat="1" ht="15.75">
      <c r="A802" s="359"/>
      <c r="B802" s="360"/>
      <c r="C802" s="360"/>
      <c r="D802" s="196"/>
      <c r="E802" s="31"/>
      <c r="F802" s="31"/>
      <c r="G802" s="31"/>
      <c r="H802" s="196"/>
      <c r="I802" s="196"/>
      <c r="J802" s="31"/>
      <c r="K802" s="31"/>
    </row>
    <row r="803" spans="1:11" s="13" customFormat="1" ht="15.75">
      <c r="A803" s="359"/>
      <c r="B803" s="360"/>
      <c r="C803" s="360"/>
      <c r="D803" s="196"/>
      <c r="E803" s="31"/>
      <c r="F803" s="31"/>
      <c r="G803" s="31"/>
      <c r="H803" s="196"/>
      <c r="I803" s="196"/>
      <c r="J803" s="31"/>
      <c r="K803" s="31"/>
    </row>
    <row r="804" spans="1:11" s="13" customFormat="1" ht="15.75">
      <c r="A804" s="359"/>
      <c r="B804" s="360"/>
      <c r="C804" s="360"/>
      <c r="D804" s="196"/>
      <c r="E804" s="31"/>
      <c r="F804" s="31"/>
      <c r="G804" s="31"/>
      <c r="H804" s="196"/>
      <c r="I804" s="196"/>
      <c r="J804" s="31"/>
      <c r="K804" s="31"/>
    </row>
    <row r="805" spans="1:11" s="13" customFormat="1" ht="15.75">
      <c r="A805" s="359"/>
      <c r="B805" s="360"/>
      <c r="C805" s="360"/>
      <c r="D805" s="196"/>
      <c r="E805" s="31"/>
      <c r="F805" s="31"/>
      <c r="G805" s="31"/>
      <c r="H805" s="196"/>
      <c r="I805" s="196"/>
      <c r="J805" s="31"/>
      <c r="K805" s="31"/>
    </row>
    <row r="806" spans="1:11" s="13" customFormat="1" ht="15.75">
      <c r="A806" s="359"/>
      <c r="B806" s="360"/>
      <c r="C806" s="360"/>
      <c r="D806" s="196"/>
      <c r="E806" s="31"/>
      <c r="F806" s="31"/>
      <c r="G806" s="31"/>
      <c r="H806" s="196"/>
      <c r="I806" s="196"/>
      <c r="J806" s="31"/>
      <c r="K806" s="31"/>
    </row>
    <row r="807" spans="1:11" s="13" customFormat="1" ht="15.75">
      <c r="A807" s="359"/>
      <c r="B807" s="360"/>
      <c r="C807" s="360"/>
      <c r="D807" s="196"/>
      <c r="E807" s="31"/>
      <c r="F807" s="31"/>
      <c r="G807" s="31"/>
      <c r="H807" s="196"/>
      <c r="I807" s="196"/>
      <c r="J807" s="31"/>
      <c r="K807" s="31"/>
    </row>
    <row r="808" spans="1:11" s="13" customFormat="1" ht="15.75">
      <c r="A808" s="359"/>
      <c r="B808" s="360"/>
      <c r="C808" s="360"/>
      <c r="D808" s="196"/>
      <c r="E808" s="31"/>
      <c r="F808" s="31"/>
      <c r="G808" s="31"/>
      <c r="H808" s="196"/>
      <c r="I808" s="196"/>
      <c r="J808" s="31"/>
      <c r="K808" s="31"/>
    </row>
    <row r="809" spans="1:11" s="13" customFormat="1" ht="15.75">
      <c r="A809" s="359"/>
      <c r="B809" s="360"/>
      <c r="C809" s="360"/>
      <c r="D809" s="196"/>
      <c r="E809" s="31"/>
      <c r="F809" s="31"/>
      <c r="G809" s="31"/>
      <c r="H809" s="196"/>
      <c r="I809" s="196"/>
      <c r="J809" s="31"/>
      <c r="K809" s="31"/>
    </row>
    <row r="810" spans="1:11" s="13" customFormat="1" ht="15.75">
      <c r="A810" s="359"/>
      <c r="B810" s="360"/>
      <c r="C810" s="360"/>
      <c r="D810" s="196"/>
      <c r="E810" s="31"/>
      <c r="F810" s="31"/>
      <c r="G810" s="31"/>
      <c r="H810" s="196"/>
      <c r="I810" s="196"/>
      <c r="J810" s="31"/>
      <c r="K810" s="31"/>
    </row>
    <row r="811" spans="1:11" s="13" customFormat="1" ht="15.75">
      <c r="A811" s="359"/>
      <c r="B811" s="360"/>
      <c r="C811" s="360"/>
      <c r="D811" s="196"/>
      <c r="E811" s="31"/>
      <c r="F811" s="31"/>
      <c r="G811" s="31"/>
      <c r="H811" s="196"/>
      <c r="I811" s="196"/>
      <c r="J811" s="31"/>
      <c r="K811" s="31"/>
    </row>
    <row r="812" spans="1:11" s="13" customFormat="1" ht="15.75">
      <c r="A812" s="359"/>
      <c r="B812" s="360"/>
      <c r="C812" s="360"/>
      <c r="D812" s="196"/>
      <c r="E812" s="31"/>
      <c r="F812" s="31"/>
      <c r="G812" s="31"/>
      <c r="H812" s="196"/>
      <c r="I812" s="196"/>
      <c r="J812" s="31"/>
      <c r="K812" s="31"/>
    </row>
    <row r="813" spans="1:11" s="13" customFormat="1" ht="15.75">
      <c r="A813" s="359"/>
      <c r="B813" s="360"/>
      <c r="C813" s="360"/>
      <c r="D813" s="196"/>
      <c r="E813" s="31"/>
      <c r="F813" s="31"/>
      <c r="G813" s="31"/>
      <c r="H813" s="196"/>
      <c r="I813" s="196"/>
      <c r="J813" s="31"/>
      <c r="K813" s="31"/>
    </row>
    <row r="814" spans="1:11" s="13" customFormat="1" ht="15.75">
      <c r="A814" s="359"/>
      <c r="B814" s="360"/>
      <c r="C814" s="360"/>
      <c r="D814" s="196"/>
      <c r="E814" s="31"/>
      <c r="F814" s="31"/>
      <c r="G814" s="31"/>
      <c r="H814" s="196"/>
      <c r="I814" s="196"/>
      <c r="J814" s="31"/>
      <c r="K814" s="31"/>
    </row>
    <row r="815" spans="1:11" s="13" customFormat="1" ht="15.75">
      <c r="A815" s="359"/>
      <c r="B815" s="360"/>
      <c r="C815" s="360"/>
      <c r="D815" s="196"/>
      <c r="E815" s="31"/>
      <c r="F815" s="31"/>
      <c r="G815" s="31"/>
      <c r="H815" s="196"/>
      <c r="I815" s="196"/>
      <c r="J815" s="31"/>
      <c r="K815" s="31"/>
    </row>
    <row r="816" spans="1:11" s="13" customFormat="1" ht="15.75">
      <c r="A816" s="359"/>
      <c r="B816" s="360"/>
      <c r="C816" s="360"/>
      <c r="D816" s="196"/>
      <c r="E816" s="31"/>
      <c r="F816" s="31"/>
      <c r="G816" s="31"/>
      <c r="H816" s="196"/>
      <c r="I816" s="196"/>
      <c r="J816" s="31"/>
      <c r="K816" s="31"/>
    </row>
    <row r="817" spans="1:11" s="13" customFormat="1" ht="15.75">
      <c r="A817" s="359"/>
      <c r="B817" s="360"/>
      <c r="C817" s="360"/>
      <c r="D817" s="196"/>
      <c r="E817" s="31"/>
      <c r="F817" s="31"/>
      <c r="G817" s="31"/>
      <c r="H817" s="196"/>
      <c r="I817" s="196"/>
      <c r="J817" s="31"/>
      <c r="K817" s="31"/>
    </row>
    <row r="818" spans="1:11" s="13" customFormat="1" ht="15.75">
      <c r="A818" s="359"/>
      <c r="B818" s="360"/>
      <c r="C818" s="360"/>
      <c r="D818" s="196"/>
      <c r="E818" s="31"/>
      <c r="F818" s="31"/>
      <c r="G818" s="31"/>
      <c r="H818" s="196"/>
      <c r="I818" s="196"/>
      <c r="J818" s="31"/>
      <c r="K818" s="31"/>
    </row>
    <row r="819" spans="1:11" s="13" customFormat="1" ht="15.75">
      <c r="A819" s="359"/>
      <c r="B819" s="360"/>
      <c r="C819" s="360"/>
      <c r="D819" s="196"/>
      <c r="E819" s="31"/>
      <c r="F819" s="31"/>
      <c r="G819" s="31"/>
      <c r="H819" s="196"/>
      <c r="I819" s="196"/>
      <c r="J819" s="31"/>
      <c r="K819" s="31"/>
    </row>
    <row r="820" spans="1:11" s="13" customFormat="1" ht="15.75">
      <c r="A820" s="359"/>
      <c r="B820" s="360"/>
      <c r="C820" s="360"/>
      <c r="D820" s="196"/>
      <c r="E820" s="31"/>
      <c r="F820" s="31"/>
      <c r="G820" s="31"/>
      <c r="H820" s="196"/>
      <c r="I820" s="196"/>
      <c r="J820" s="31"/>
      <c r="K820" s="31"/>
    </row>
    <row r="821" spans="1:11" s="13" customFormat="1" ht="15.75">
      <c r="A821" s="359"/>
      <c r="B821" s="360"/>
      <c r="C821" s="360"/>
      <c r="D821" s="196"/>
      <c r="E821" s="31"/>
      <c r="F821" s="31"/>
      <c r="G821" s="31"/>
      <c r="H821" s="196"/>
      <c r="I821" s="196"/>
      <c r="J821" s="31"/>
      <c r="K821" s="31"/>
    </row>
    <row r="822" spans="1:11" s="13" customFormat="1" ht="15.75">
      <c r="A822" s="359"/>
      <c r="B822" s="360"/>
      <c r="C822" s="360"/>
      <c r="D822" s="196"/>
      <c r="E822" s="31"/>
      <c r="F822" s="31"/>
      <c r="G822" s="31"/>
      <c r="H822" s="196"/>
      <c r="I822" s="196"/>
      <c r="J822" s="31"/>
      <c r="K822" s="31"/>
    </row>
    <row r="823" spans="1:11" s="13" customFormat="1" ht="15.75">
      <c r="A823" s="359"/>
      <c r="B823" s="360"/>
      <c r="C823" s="360"/>
      <c r="D823" s="196"/>
      <c r="E823" s="31"/>
      <c r="F823" s="31"/>
      <c r="G823" s="31"/>
      <c r="H823" s="196"/>
      <c r="I823" s="196"/>
      <c r="J823" s="31"/>
      <c r="K823" s="31"/>
    </row>
    <row r="824" spans="1:11" s="13" customFormat="1" ht="15.75">
      <c r="A824" s="359"/>
      <c r="B824" s="360"/>
      <c r="C824" s="360"/>
      <c r="D824" s="196"/>
      <c r="E824" s="31"/>
      <c r="F824" s="31"/>
      <c r="G824" s="31"/>
      <c r="H824" s="196"/>
      <c r="I824" s="196"/>
      <c r="J824" s="31"/>
      <c r="K824" s="31"/>
    </row>
    <row r="825" spans="1:11" s="13" customFormat="1" ht="15.75">
      <c r="A825" s="359"/>
      <c r="B825" s="360"/>
      <c r="C825" s="360"/>
      <c r="D825" s="196"/>
      <c r="E825" s="31"/>
      <c r="F825" s="31"/>
      <c r="G825" s="31"/>
      <c r="H825" s="196"/>
      <c r="I825" s="196"/>
      <c r="J825" s="31"/>
      <c r="K825" s="31"/>
    </row>
    <row r="826" spans="1:11" s="13" customFormat="1" ht="15.75">
      <c r="A826" s="359"/>
      <c r="B826" s="360"/>
      <c r="C826" s="360"/>
      <c r="D826" s="196"/>
      <c r="E826" s="31"/>
      <c r="F826" s="31"/>
      <c r="G826" s="31"/>
      <c r="H826" s="196"/>
      <c r="I826" s="196"/>
      <c r="J826" s="31"/>
      <c r="K826" s="31"/>
    </row>
    <row r="827" spans="1:11" s="13" customFormat="1" ht="15.75">
      <c r="A827" s="359"/>
      <c r="B827" s="360"/>
      <c r="C827" s="360"/>
      <c r="D827" s="196"/>
      <c r="E827" s="31"/>
      <c r="F827" s="31"/>
      <c r="G827" s="31"/>
      <c r="H827" s="196"/>
      <c r="I827" s="196"/>
      <c r="J827" s="31"/>
      <c r="K827" s="31"/>
    </row>
    <row r="828" spans="1:11" s="13" customFormat="1" ht="15.75">
      <c r="A828" s="359"/>
      <c r="B828" s="360"/>
      <c r="C828" s="360"/>
      <c r="D828" s="196"/>
      <c r="E828" s="31"/>
      <c r="F828" s="31"/>
      <c r="G828" s="31"/>
      <c r="H828" s="196"/>
      <c r="I828" s="196"/>
      <c r="J828" s="31"/>
      <c r="K828" s="31"/>
    </row>
    <row r="829" spans="1:11" s="13" customFormat="1" ht="15.75">
      <c r="A829" s="359"/>
      <c r="B829" s="360"/>
      <c r="C829" s="360"/>
      <c r="D829" s="196"/>
      <c r="E829" s="31"/>
      <c r="F829" s="31"/>
      <c r="G829" s="31"/>
      <c r="H829" s="196"/>
      <c r="I829" s="196"/>
      <c r="J829" s="31"/>
      <c r="K829" s="31"/>
    </row>
    <row r="830" spans="1:11" s="13" customFormat="1" ht="15.75">
      <c r="A830" s="359"/>
      <c r="B830" s="360"/>
      <c r="C830" s="360"/>
      <c r="D830" s="196"/>
      <c r="E830" s="31"/>
      <c r="F830" s="31"/>
      <c r="G830" s="31"/>
      <c r="H830" s="196"/>
      <c r="I830" s="196"/>
      <c r="J830" s="31"/>
      <c r="K830" s="31"/>
    </row>
    <row r="831" spans="1:11" s="13" customFormat="1" ht="15.75">
      <c r="A831" s="359"/>
      <c r="B831" s="360"/>
      <c r="C831" s="360"/>
      <c r="D831" s="196"/>
      <c r="E831" s="31"/>
      <c r="F831" s="31"/>
      <c r="G831" s="31"/>
      <c r="H831" s="196"/>
      <c r="I831" s="196"/>
      <c r="J831" s="31"/>
      <c r="K831" s="31"/>
    </row>
    <row r="832" spans="1:11" s="13" customFormat="1" ht="15.75">
      <c r="A832" s="359"/>
      <c r="B832" s="360"/>
      <c r="C832" s="360"/>
      <c r="D832" s="196"/>
      <c r="E832" s="31"/>
      <c r="F832" s="31"/>
      <c r="G832" s="31"/>
      <c r="H832" s="196"/>
      <c r="I832" s="196"/>
      <c r="J832" s="31"/>
      <c r="K832" s="31"/>
    </row>
    <row r="833" spans="1:11" s="13" customFormat="1" ht="15.75">
      <c r="A833" s="359"/>
      <c r="B833" s="360"/>
      <c r="C833" s="360"/>
      <c r="D833" s="196"/>
      <c r="E833" s="31"/>
      <c r="F833" s="31"/>
      <c r="G833" s="31"/>
      <c r="H833" s="196"/>
      <c r="I833" s="196"/>
      <c r="J833" s="31"/>
      <c r="K833" s="31"/>
    </row>
    <row r="834" spans="1:11" s="13" customFormat="1" ht="15.75">
      <c r="A834" s="359"/>
      <c r="B834" s="360"/>
      <c r="C834" s="360"/>
      <c r="D834" s="196"/>
      <c r="E834" s="31"/>
      <c r="F834" s="31"/>
      <c r="G834" s="31"/>
      <c r="H834" s="196"/>
      <c r="I834" s="196"/>
      <c r="J834" s="31"/>
      <c r="K834" s="31"/>
    </row>
    <row r="835" spans="1:11" s="13" customFormat="1" ht="15.75">
      <c r="A835" s="359"/>
      <c r="B835" s="360"/>
      <c r="C835" s="360"/>
      <c r="D835" s="196"/>
      <c r="E835" s="31"/>
      <c r="F835" s="31"/>
      <c r="G835" s="31"/>
      <c r="H835" s="196"/>
      <c r="I835" s="196"/>
      <c r="J835" s="31"/>
      <c r="K835" s="31"/>
    </row>
    <row r="836" spans="1:11" s="13" customFormat="1" ht="15.75">
      <c r="A836" s="359"/>
      <c r="B836" s="360"/>
      <c r="C836" s="360"/>
      <c r="D836" s="196"/>
      <c r="E836" s="31"/>
      <c r="F836" s="31"/>
      <c r="G836" s="31"/>
      <c r="H836" s="196"/>
      <c r="I836" s="196"/>
      <c r="J836" s="31"/>
      <c r="K836" s="31"/>
    </row>
    <row r="837" spans="1:11" s="13" customFormat="1" ht="15.75">
      <c r="A837" s="359"/>
      <c r="B837" s="360"/>
      <c r="C837" s="360"/>
      <c r="D837" s="196"/>
      <c r="E837" s="31"/>
      <c r="F837" s="31"/>
      <c r="G837" s="31"/>
      <c r="H837" s="196"/>
      <c r="I837" s="196"/>
      <c r="J837" s="31"/>
      <c r="K837" s="31"/>
    </row>
    <row r="838" spans="1:11" s="13" customFormat="1" ht="15.75">
      <c r="A838" s="359"/>
      <c r="B838" s="360"/>
      <c r="C838" s="360"/>
      <c r="D838" s="196"/>
      <c r="E838" s="31"/>
      <c r="F838" s="31"/>
      <c r="G838" s="31"/>
      <c r="H838" s="196"/>
      <c r="I838" s="196"/>
      <c r="J838" s="31"/>
      <c r="K838" s="31"/>
    </row>
    <row r="839" spans="1:11" s="13" customFormat="1" ht="15.75">
      <c r="A839" s="359"/>
      <c r="B839" s="360"/>
      <c r="C839" s="360"/>
      <c r="D839" s="196"/>
      <c r="E839" s="31"/>
      <c r="F839" s="31"/>
      <c r="G839" s="31"/>
      <c r="H839" s="196"/>
      <c r="I839" s="196"/>
      <c r="J839" s="31"/>
      <c r="K839" s="31"/>
    </row>
    <row r="840" spans="1:11" s="13" customFormat="1" ht="15.75">
      <c r="A840" s="359"/>
      <c r="B840" s="360"/>
      <c r="C840" s="360"/>
      <c r="D840" s="196"/>
      <c r="E840" s="31"/>
      <c r="F840" s="31"/>
      <c r="G840" s="31"/>
      <c r="H840" s="196"/>
      <c r="I840" s="196"/>
      <c r="J840" s="31"/>
      <c r="K840" s="31"/>
    </row>
    <row r="841" spans="1:11" s="13" customFormat="1" ht="15.75">
      <c r="A841" s="359"/>
      <c r="B841" s="360"/>
      <c r="C841" s="360"/>
      <c r="D841" s="196"/>
      <c r="E841" s="31"/>
      <c r="F841" s="31"/>
      <c r="G841" s="31"/>
      <c r="H841" s="196"/>
      <c r="I841" s="196"/>
      <c r="J841" s="31"/>
      <c r="K841" s="31"/>
    </row>
    <row r="842" spans="1:11" s="13" customFormat="1" ht="15.75">
      <c r="A842" s="359"/>
      <c r="B842" s="360"/>
      <c r="C842" s="360"/>
      <c r="D842" s="196"/>
      <c r="E842" s="31"/>
      <c r="F842" s="31"/>
      <c r="G842" s="31"/>
      <c r="H842" s="196"/>
      <c r="I842" s="196"/>
      <c r="J842" s="31"/>
      <c r="K842" s="31"/>
    </row>
    <row r="843" spans="1:11" s="13" customFormat="1" ht="15.75">
      <c r="A843" s="359"/>
      <c r="B843" s="360"/>
      <c r="C843" s="360"/>
      <c r="D843" s="196"/>
      <c r="E843" s="31"/>
      <c r="F843" s="31"/>
      <c r="G843" s="31"/>
      <c r="H843" s="196"/>
      <c r="I843" s="196"/>
      <c r="J843" s="31"/>
      <c r="K843" s="31"/>
    </row>
    <row r="844" spans="1:11" s="13" customFormat="1" ht="15.75">
      <c r="A844" s="359"/>
      <c r="B844" s="360"/>
      <c r="C844" s="360"/>
      <c r="D844" s="196"/>
      <c r="E844" s="31"/>
      <c r="F844" s="31"/>
      <c r="G844" s="31"/>
      <c r="H844" s="196"/>
      <c r="I844" s="196"/>
      <c r="J844" s="31"/>
      <c r="K844" s="31"/>
    </row>
    <row r="845" spans="1:11" s="13" customFormat="1" ht="15.75">
      <c r="A845" s="359"/>
      <c r="B845" s="360"/>
      <c r="C845" s="360"/>
      <c r="D845" s="196"/>
      <c r="E845" s="31"/>
      <c r="F845" s="31"/>
      <c r="G845" s="31"/>
      <c r="H845" s="196"/>
      <c r="I845" s="196"/>
      <c r="J845" s="31"/>
      <c r="K845" s="31"/>
    </row>
    <row r="846" spans="1:11" s="13" customFormat="1" ht="15.75">
      <c r="A846" s="359"/>
      <c r="B846" s="360"/>
      <c r="C846" s="360"/>
      <c r="D846" s="196"/>
      <c r="E846" s="31"/>
      <c r="F846" s="31"/>
      <c r="G846" s="31"/>
      <c r="H846" s="196"/>
      <c r="I846" s="196"/>
      <c r="J846" s="31"/>
      <c r="K846" s="31"/>
    </row>
    <row r="847" spans="1:11" s="13" customFormat="1" ht="15.75">
      <c r="A847" s="359"/>
      <c r="B847" s="360"/>
      <c r="C847" s="360"/>
      <c r="D847" s="196"/>
      <c r="E847" s="31"/>
      <c r="F847" s="31"/>
      <c r="G847" s="31"/>
      <c r="H847" s="196"/>
      <c r="I847" s="196"/>
      <c r="J847" s="31"/>
      <c r="K847" s="31"/>
    </row>
    <row r="848" spans="1:11" s="13" customFormat="1" ht="15.75">
      <c r="A848" s="359"/>
      <c r="B848" s="360"/>
      <c r="C848" s="360"/>
      <c r="D848" s="196"/>
      <c r="E848" s="31"/>
      <c r="F848" s="31"/>
      <c r="G848" s="31"/>
      <c r="H848" s="196"/>
      <c r="I848" s="196"/>
      <c r="J848" s="31"/>
      <c r="K848" s="31"/>
    </row>
    <row r="849" spans="1:11" s="13" customFormat="1" ht="15.75">
      <c r="A849" s="359"/>
      <c r="B849" s="360"/>
      <c r="C849" s="360"/>
      <c r="D849" s="196"/>
      <c r="E849" s="31"/>
      <c r="F849" s="31"/>
      <c r="G849" s="31"/>
      <c r="H849" s="196"/>
      <c r="I849" s="196"/>
      <c r="J849" s="31"/>
      <c r="K849" s="31"/>
    </row>
    <row r="850" spans="1:11" s="13" customFormat="1" ht="15.75">
      <c r="A850" s="359"/>
      <c r="B850" s="360"/>
      <c r="C850" s="360"/>
      <c r="D850" s="196"/>
      <c r="E850" s="31"/>
      <c r="F850" s="31"/>
      <c r="G850" s="31"/>
      <c r="H850" s="196"/>
      <c r="I850" s="196"/>
      <c r="J850" s="31"/>
      <c r="K850" s="31"/>
    </row>
    <row r="851" spans="1:11" s="13" customFormat="1" ht="15.75">
      <c r="A851" s="359"/>
      <c r="B851" s="360"/>
      <c r="C851" s="360"/>
      <c r="D851" s="196"/>
      <c r="E851" s="31"/>
      <c r="F851" s="31"/>
      <c r="G851" s="31"/>
      <c r="H851" s="196"/>
      <c r="I851" s="196"/>
      <c r="J851" s="31"/>
      <c r="K851" s="31"/>
    </row>
    <row r="852" spans="1:11" s="13" customFormat="1" ht="15.75">
      <c r="A852" s="359"/>
      <c r="B852" s="360"/>
      <c r="C852" s="360"/>
      <c r="D852" s="196"/>
      <c r="E852" s="31"/>
      <c r="F852" s="31"/>
      <c r="G852" s="31"/>
      <c r="H852" s="196"/>
      <c r="I852" s="196"/>
      <c r="J852" s="31"/>
      <c r="K852" s="31"/>
    </row>
    <row r="853" spans="1:11" s="13" customFormat="1" ht="15.75">
      <c r="A853" s="359"/>
      <c r="B853" s="360"/>
      <c r="C853" s="360"/>
      <c r="D853" s="196"/>
      <c r="E853" s="31"/>
      <c r="F853" s="31"/>
      <c r="G853" s="31"/>
      <c r="H853" s="196"/>
      <c r="I853" s="196"/>
      <c r="J853" s="31"/>
      <c r="K853" s="31"/>
    </row>
    <row r="854" spans="1:11" s="13" customFormat="1" ht="15.75">
      <c r="A854" s="359"/>
      <c r="B854" s="360"/>
      <c r="C854" s="360"/>
      <c r="D854" s="196"/>
      <c r="E854" s="31"/>
      <c r="F854" s="31"/>
      <c r="G854" s="31"/>
      <c r="H854" s="196"/>
      <c r="I854" s="196"/>
      <c r="J854" s="31"/>
      <c r="K854" s="31"/>
    </row>
    <row r="855" spans="1:11" s="13" customFormat="1" ht="15.75">
      <c r="A855" s="359"/>
      <c r="B855" s="360"/>
      <c r="C855" s="360"/>
      <c r="D855" s="196"/>
      <c r="E855" s="31"/>
      <c r="F855" s="31"/>
      <c r="G855" s="31"/>
      <c r="H855" s="196"/>
      <c r="I855" s="196"/>
      <c r="J855" s="31"/>
      <c r="K855" s="31"/>
    </row>
    <row r="856" spans="1:11" s="13" customFormat="1" ht="15.75">
      <c r="A856" s="359"/>
      <c r="B856" s="360"/>
      <c r="C856" s="360"/>
      <c r="D856" s="196"/>
      <c r="E856" s="31"/>
      <c r="F856" s="31"/>
      <c r="G856" s="31"/>
      <c r="H856" s="196"/>
      <c r="I856" s="196"/>
      <c r="J856" s="31"/>
      <c r="K856" s="31"/>
    </row>
    <row r="857" spans="1:11" s="13" customFormat="1" ht="15.75">
      <c r="A857" s="359"/>
      <c r="B857" s="360"/>
      <c r="C857" s="360"/>
      <c r="D857" s="196"/>
      <c r="E857" s="31"/>
      <c r="F857" s="31"/>
      <c r="G857" s="31"/>
      <c r="H857" s="196"/>
      <c r="I857" s="196"/>
      <c r="J857" s="31"/>
      <c r="K857" s="31"/>
    </row>
    <row r="858" spans="1:11" s="13" customFormat="1" ht="15.75">
      <c r="A858" s="359"/>
      <c r="B858" s="360"/>
      <c r="C858" s="360"/>
      <c r="D858" s="196"/>
      <c r="E858" s="31"/>
      <c r="F858" s="31"/>
      <c r="G858" s="31"/>
      <c r="H858" s="196"/>
      <c r="I858" s="196"/>
      <c r="J858" s="31"/>
      <c r="K858" s="31"/>
    </row>
    <row r="859" spans="1:11" s="13" customFormat="1" ht="15.75">
      <c r="A859" s="359"/>
      <c r="B859" s="360"/>
      <c r="C859" s="360"/>
      <c r="D859" s="196"/>
      <c r="E859" s="31"/>
      <c r="F859" s="31"/>
      <c r="G859" s="31"/>
      <c r="H859" s="196"/>
      <c r="I859" s="196"/>
      <c r="J859" s="31"/>
      <c r="K859" s="31"/>
    </row>
    <row r="860" spans="1:11" s="13" customFormat="1" ht="15.75">
      <c r="A860" s="359"/>
      <c r="B860" s="360"/>
      <c r="C860" s="360"/>
      <c r="D860" s="196"/>
      <c r="E860" s="31"/>
      <c r="F860" s="31"/>
      <c r="G860" s="31"/>
      <c r="H860" s="196"/>
      <c r="I860" s="196"/>
      <c r="J860" s="31"/>
      <c r="K860" s="31"/>
    </row>
    <row r="861" spans="1:11" s="13" customFormat="1" ht="15.75">
      <c r="A861" s="359"/>
      <c r="B861" s="360"/>
      <c r="C861" s="360"/>
      <c r="D861" s="196"/>
      <c r="E861" s="31"/>
      <c r="F861" s="31"/>
      <c r="G861" s="31"/>
      <c r="H861" s="196"/>
      <c r="I861" s="196"/>
      <c r="J861" s="31"/>
      <c r="K861" s="31"/>
    </row>
    <row r="862" spans="1:11" s="13" customFormat="1" ht="15.75">
      <c r="A862" s="357"/>
      <c r="B862" s="361"/>
      <c r="C862" s="361"/>
      <c r="D862" s="197"/>
      <c r="E862" s="31"/>
      <c r="F862" s="31"/>
      <c r="G862" s="31"/>
      <c r="H862" s="197"/>
      <c r="I862" s="197"/>
      <c r="J862" s="31"/>
      <c r="K862" s="31"/>
    </row>
    <row r="863" spans="1:11" s="13" customFormat="1" ht="15.75">
      <c r="A863" s="357"/>
      <c r="B863" s="361"/>
      <c r="C863" s="361"/>
      <c r="D863" s="197"/>
      <c r="E863" s="31"/>
      <c r="F863" s="31"/>
      <c r="G863" s="31"/>
      <c r="H863" s="197"/>
      <c r="I863" s="197"/>
      <c r="J863" s="31"/>
      <c r="K863" s="31"/>
    </row>
    <row r="864" spans="1:11" s="13" customFormat="1" ht="15.75">
      <c r="A864" s="357"/>
      <c r="B864" s="361"/>
      <c r="C864" s="361"/>
      <c r="D864" s="197"/>
      <c r="E864" s="31"/>
      <c r="F864" s="31"/>
      <c r="G864" s="31"/>
      <c r="H864" s="197"/>
      <c r="I864" s="197"/>
      <c r="J864" s="31"/>
      <c r="K864" s="31"/>
    </row>
    <row r="865" spans="1:11" s="13" customFormat="1" ht="15.75">
      <c r="A865" s="357"/>
      <c r="B865" s="361"/>
      <c r="C865" s="361"/>
      <c r="D865" s="197"/>
      <c r="E865" s="31"/>
      <c r="F865" s="31"/>
      <c r="G865" s="31"/>
      <c r="H865" s="197"/>
      <c r="I865" s="197"/>
      <c r="J865" s="31"/>
      <c r="K865" s="31"/>
    </row>
    <row r="866" spans="1:11" s="13" customFormat="1" ht="15.75">
      <c r="A866" s="357"/>
      <c r="B866" s="361"/>
      <c r="C866" s="361"/>
      <c r="D866" s="197"/>
      <c r="E866" s="31"/>
      <c r="F866" s="31"/>
      <c r="G866" s="31"/>
      <c r="H866" s="197"/>
      <c r="I866" s="197"/>
      <c r="J866" s="31"/>
      <c r="K866" s="31"/>
    </row>
    <row r="867" spans="1:11" s="13" customFormat="1" ht="15.75">
      <c r="A867" s="357"/>
      <c r="B867" s="361"/>
      <c r="C867" s="361"/>
      <c r="D867" s="197"/>
      <c r="E867" s="31"/>
      <c r="F867" s="31"/>
      <c r="G867" s="31"/>
      <c r="H867" s="197"/>
      <c r="I867" s="197"/>
      <c r="J867" s="31"/>
      <c r="K867" s="31"/>
    </row>
    <row r="868" spans="1:11" s="13" customFormat="1" ht="15.75">
      <c r="A868" s="357"/>
      <c r="B868" s="361"/>
      <c r="C868" s="361"/>
      <c r="D868" s="197"/>
      <c r="E868" s="31"/>
      <c r="F868" s="31"/>
      <c r="G868" s="31"/>
      <c r="H868" s="197"/>
      <c r="I868" s="197"/>
      <c r="J868" s="31"/>
      <c r="K868" s="31"/>
    </row>
    <row r="869" spans="1:11" s="21" customFormat="1" ht="15.75">
      <c r="A869" s="357"/>
      <c r="B869" s="361"/>
      <c r="C869" s="361"/>
      <c r="D869" s="197"/>
      <c r="E869" s="324"/>
      <c r="F869" s="324"/>
      <c r="G869" s="324"/>
      <c r="H869" s="197"/>
      <c r="I869" s="197"/>
      <c r="J869" s="324"/>
      <c r="K869" s="324"/>
    </row>
    <row r="870" spans="1:11" s="13" customFormat="1" ht="15.75">
      <c r="A870" s="357"/>
      <c r="B870" s="361"/>
      <c r="C870" s="361"/>
      <c r="D870" s="197"/>
      <c r="E870" s="31"/>
      <c r="F870" s="31"/>
      <c r="G870" s="31"/>
      <c r="H870" s="197"/>
      <c r="I870" s="197"/>
      <c r="J870" s="31"/>
      <c r="K870" s="31"/>
    </row>
    <row r="871" spans="1:11" s="13" customFormat="1" ht="15.75">
      <c r="A871" s="357"/>
      <c r="B871" s="361"/>
      <c r="C871" s="361"/>
      <c r="D871" s="197"/>
      <c r="E871" s="31"/>
      <c r="F871" s="31"/>
      <c r="G871" s="31"/>
      <c r="H871" s="197"/>
      <c r="I871" s="197"/>
      <c r="J871" s="31"/>
      <c r="K871" s="31"/>
    </row>
    <row r="872" spans="1:11" s="13" customFormat="1" ht="15.75">
      <c r="A872" s="357"/>
      <c r="B872" s="361"/>
      <c r="C872" s="361"/>
      <c r="D872" s="197"/>
      <c r="E872" s="31"/>
      <c r="F872" s="31"/>
      <c r="G872" s="31"/>
      <c r="H872" s="197"/>
      <c r="I872" s="197"/>
      <c r="J872" s="31"/>
      <c r="K872" s="31"/>
    </row>
    <row r="873" spans="1:11" s="13" customFormat="1" ht="15.75">
      <c r="A873" s="357"/>
      <c r="B873" s="361"/>
      <c r="C873" s="361"/>
      <c r="D873" s="197"/>
      <c r="E873" s="31"/>
      <c r="F873" s="31"/>
      <c r="G873" s="31"/>
      <c r="H873" s="197"/>
      <c r="I873" s="197"/>
      <c r="J873" s="31"/>
      <c r="K873" s="31"/>
    </row>
    <row r="874" spans="1:11" s="13" customFormat="1" ht="15.75">
      <c r="A874" s="357"/>
      <c r="B874" s="361"/>
      <c r="C874" s="361"/>
      <c r="D874" s="197"/>
      <c r="E874" s="31"/>
      <c r="F874" s="31"/>
      <c r="G874" s="31"/>
      <c r="H874" s="197"/>
      <c r="I874" s="197"/>
      <c r="J874" s="31"/>
      <c r="K874" s="31"/>
    </row>
    <row r="875" spans="1:11" s="13" customFormat="1" ht="15.75">
      <c r="A875" s="357"/>
      <c r="B875" s="361"/>
      <c r="C875" s="361"/>
      <c r="D875" s="197"/>
      <c r="E875" s="31"/>
      <c r="F875" s="31"/>
      <c r="G875" s="31"/>
      <c r="H875" s="197"/>
      <c r="I875" s="197"/>
      <c r="J875" s="31"/>
      <c r="K875" s="31"/>
    </row>
    <row r="876" spans="1:11" s="13" customFormat="1" ht="15.75">
      <c r="A876" s="357"/>
      <c r="B876" s="361"/>
      <c r="C876" s="361"/>
      <c r="D876" s="197"/>
      <c r="E876" s="31"/>
      <c r="F876" s="31"/>
      <c r="G876" s="31"/>
      <c r="H876" s="197"/>
      <c r="I876" s="197"/>
      <c r="J876" s="31"/>
      <c r="K876" s="31"/>
    </row>
    <row r="877" spans="1:11" s="13" customFormat="1" ht="15.75">
      <c r="A877" s="357"/>
      <c r="B877" s="361"/>
      <c r="C877" s="361"/>
      <c r="D877" s="197"/>
      <c r="E877" s="31"/>
      <c r="F877" s="31"/>
      <c r="G877" s="31"/>
      <c r="H877" s="197"/>
      <c r="I877" s="197"/>
      <c r="J877" s="31"/>
      <c r="K877" s="31"/>
    </row>
    <row r="878" spans="1:11" s="13" customFormat="1" ht="15.75">
      <c r="A878" s="357"/>
      <c r="B878" s="361"/>
      <c r="C878" s="361"/>
      <c r="D878" s="197"/>
      <c r="E878" s="31"/>
      <c r="F878" s="31"/>
      <c r="G878" s="31"/>
      <c r="H878" s="197"/>
      <c r="I878" s="197"/>
      <c r="J878" s="31"/>
      <c r="K878" s="31"/>
    </row>
    <row r="879" spans="1:11" s="13" customFormat="1" ht="15.75">
      <c r="A879" s="357"/>
      <c r="B879" s="361"/>
      <c r="C879" s="361"/>
      <c r="D879" s="197"/>
      <c r="E879" s="31"/>
      <c r="F879" s="31"/>
      <c r="G879" s="31"/>
      <c r="H879" s="197"/>
      <c r="I879" s="197"/>
      <c r="J879" s="31"/>
      <c r="K879" s="31"/>
    </row>
    <row r="880" spans="1:11" s="13" customFormat="1" ht="15.75">
      <c r="A880" s="357"/>
      <c r="B880" s="361"/>
      <c r="C880" s="361"/>
      <c r="D880" s="197"/>
      <c r="E880" s="31"/>
      <c r="F880" s="31"/>
      <c r="G880" s="31"/>
      <c r="H880" s="197"/>
      <c r="I880" s="197"/>
      <c r="J880" s="31"/>
      <c r="K880" s="31"/>
    </row>
    <row r="881" spans="1:11" s="13" customFormat="1" ht="15.75">
      <c r="A881" s="357"/>
      <c r="B881" s="361"/>
      <c r="C881" s="361"/>
      <c r="D881" s="197"/>
      <c r="E881" s="31"/>
      <c r="F881" s="31"/>
      <c r="G881" s="31"/>
      <c r="H881" s="197"/>
      <c r="I881" s="197"/>
      <c r="J881" s="31"/>
      <c r="K881" s="31"/>
    </row>
    <row r="882" spans="1:11" s="13" customFormat="1" ht="15.75">
      <c r="A882" s="357"/>
      <c r="B882" s="361"/>
      <c r="C882" s="361"/>
      <c r="D882" s="197"/>
      <c r="E882" s="31"/>
      <c r="F882" s="31"/>
      <c r="G882" s="31"/>
      <c r="H882" s="197"/>
      <c r="I882" s="197"/>
      <c r="J882" s="31"/>
      <c r="K882" s="31"/>
    </row>
    <row r="883" spans="1:11" s="13" customFormat="1" ht="15.75">
      <c r="A883" s="357"/>
      <c r="B883" s="361"/>
      <c r="C883" s="361"/>
      <c r="D883" s="197"/>
      <c r="E883" s="31"/>
      <c r="F883" s="31"/>
      <c r="G883" s="31"/>
      <c r="H883" s="197"/>
      <c r="I883" s="197"/>
      <c r="J883" s="31"/>
      <c r="K883" s="31"/>
    </row>
    <row r="884" spans="1:11" s="13" customFormat="1" ht="15.75">
      <c r="A884" s="357"/>
      <c r="B884" s="361"/>
      <c r="C884" s="361"/>
      <c r="D884" s="197"/>
      <c r="E884" s="31"/>
      <c r="F884" s="31"/>
      <c r="G884" s="31"/>
      <c r="H884" s="197"/>
      <c r="I884" s="197"/>
      <c r="J884" s="31"/>
      <c r="K884" s="31"/>
    </row>
    <row r="885" spans="1:11" s="13" customFormat="1" ht="15.75">
      <c r="A885" s="357"/>
      <c r="B885" s="361"/>
      <c r="C885" s="361"/>
      <c r="D885" s="197"/>
      <c r="E885" s="31"/>
      <c r="F885" s="31"/>
      <c r="G885" s="31"/>
      <c r="H885" s="197"/>
      <c r="I885" s="197"/>
      <c r="J885" s="31"/>
      <c r="K885" s="31"/>
    </row>
    <row r="886" spans="1:11" s="13" customFormat="1" ht="15.75">
      <c r="A886" s="357"/>
      <c r="B886" s="361"/>
      <c r="C886" s="361"/>
      <c r="D886" s="197"/>
      <c r="E886" s="31"/>
      <c r="F886" s="31"/>
      <c r="G886" s="31"/>
      <c r="H886" s="197"/>
      <c r="I886" s="197"/>
      <c r="J886" s="31"/>
      <c r="K886" s="31"/>
    </row>
    <row r="887" spans="1:11" s="13" customFormat="1" ht="15.75">
      <c r="A887" s="357"/>
      <c r="B887" s="361"/>
      <c r="C887" s="361"/>
      <c r="D887" s="197"/>
      <c r="E887" s="31"/>
      <c r="F887" s="31"/>
      <c r="G887" s="31"/>
      <c r="H887" s="197"/>
      <c r="I887" s="197"/>
      <c r="J887" s="31"/>
      <c r="K887" s="31"/>
    </row>
    <row r="888" spans="1:11" s="13" customFormat="1" ht="15.75">
      <c r="A888" s="357"/>
      <c r="B888" s="361"/>
      <c r="C888" s="361"/>
      <c r="D888" s="197"/>
      <c r="E888" s="31"/>
      <c r="F888" s="31"/>
      <c r="G888" s="31"/>
      <c r="H888" s="197"/>
      <c r="I888" s="197"/>
      <c r="J888" s="31"/>
      <c r="K888" s="31"/>
    </row>
    <row r="889" spans="1:11" s="13" customFormat="1" ht="15.75">
      <c r="A889" s="357"/>
      <c r="B889" s="361"/>
      <c r="C889" s="361"/>
      <c r="D889" s="197"/>
      <c r="E889" s="31"/>
      <c r="F889" s="31"/>
      <c r="G889" s="31"/>
      <c r="H889" s="197"/>
      <c r="I889" s="197"/>
      <c r="J889" s="31"/>
      <c r="K889" s="31"/>
    </row>
    <row r="890" spans="1:11" s="13" customFormat="1" ht="15.75">
      <c r="A890" s="357"/>
      <c r="B890" s="361"/>
      <c r="C890" s="361"/>
      <c r="D890" s="197"/>
      <c r="E890" s="31"/>
      <c r="F890" s="31"/>
      <c r="G890" s="31"/>
      <c r="H890" s="197"/>
      <c r="I890" s="197"/>
      <c r="J890" s="31"/>
      <c r="K890" s="31"/>
    </row>
    <row r="891" spans="1:11" s="13" customFormat="1" ht="15.75">
      <c r="A891" s="357"/>
      <c r="B891" s="361"/>
      <c r="C891" s="361"/>
      <c r="D891" s="197"/>
      <c r="E891" s="31"/>
      <c r="F891" s="31"/>
      <c r="G891" s="31"/>
      <c r="H891" s="197"/>
      <c r="I891" s="197"/>
      <c r="J891" s="31"/>
      <c r="K891" s="31"/>
    </row>
    <row r="892" spans="1:11" s="13" customFormat="1" ht="15.75">
      <c r="A892" s="357"/>
      <c r="B892" s="361"/>
      <c r="C892" s="361"/>
      <c r="D892" s="197"/>
      <c r="E892" s="31"/>
      <c r="F892" s="31"/>
      <c r="G892" s="31"/>
      <c r="H892" s="197"/>
      <c r="I892" s="197"/>
      <c r="J892" s="31"/>
      <c r="K892" s="31"/>
    </row>
    <row r="893" spans="1:11" s="13" customFormat="1" ht="15.75">
      <c r="A893" s="357"/>
      <c r="B893" s="361"/>
      <c r="C893" s="361"/>
      <c r="D893" s="197"/>
      <c r="E893" s="31"/>
      <c r="F893" s="31"/>
      <c r="G893" s="31"/>
      <c r="H893" s="197"/>
      <c r="I893" s="197"/>
      <c r="J893" s="31"/>
      <c r="K893" s="31"/>
    </row>
    <row r="894" spans="1:11" s="13" customFormat="1" ht="15.75">
      <c r="A894" s="357"/>
      <c r="B894" s="361"/>
      <c r="C894" s="361"/>
      <c r="D894" s="197"/>
      <c r="E894" s="31"/>
      <c r="F894" s="31"/>
      <c r="G894" s="31"/>
      <c r="H894" s="197"/>
      <c r="I894" s="197"/>
      <c r="J894" s="31"/>
      <c r="K894" s="31"/>
    </row>
    <row r="895" spans="1:11" s="13" customFormat="1" ht="15.75">
      <c r="A895" s="357"/>
      <c r="B895" s="361"/>
      <c r="C895" s="361"/>
      <c r="D895" s="197"/>
      <c r="E895" s="31"/>
      <c r="F895" s="31"/>
      <c r="G895" s="31"/>
      <c r="H895" s="197"/>
      <c r="I895" s="197"/>
      <c r="J895" s="31"/>
      <c r="K895" s="31"/>
    </row>
    <row r="896" spans="1:11" s="13" customFormat="1" ht="15.75">
      <c r="A896" s="357"/>
      <c r="B896" s="361"/>
      <c r="C896" s="361"/>
      <c r="D896" s="197"/>
      <c r="E896" s="31"/>
      <c r="F896" s="31"/>
      <c r="G896" s="31"/>
      <c r="H896" s="197"/>
      <c r="I896" s="197"/>
      <c r="J896" s="31"/>
      <c r="K896" s="31"/>
    </row>
    <row r="897" spans="1:11" s="13" customFormat="1" ht="15.75">
      <c r="A897" s="357"/>
      <c r="B897" s="361"/>
      <c r="C897" s="361"/>
      <c r="D897" s="197"/>
      <c r="E897" s="31"/>
      <c r="F897" s="31"/>
      <c r="G897" s="31"/>
      <c r="H897" s="197"/>
      <c r="I897" s="197"/>
      <c r="J897" s="31"/>
      <c r="K897" s="31"/>
    </row>
    <row r="898" spans="1:11" s="13" customFormat="1" ht="15.75">
      <c r="A898" s="357"/>
      <c r="B898" s="361"/>
      <c r="C898" s="361"/>
      <c r="D898" s="197"/>
      <c r="E898" s="31"/>
      <c r="F898" s="31"/>
      <c r="G898" s="31"/>
      <c r="H898" s="197"/>
      <c r="I898" s="197"/>
      <c r="J898" s="31"/>
      <c r="K898" s="31"/>
    </row>
    <row r="899" spans="1:11" s="13" customFormat="1" ht="15.75">
      <c r="A899" s="357"/>
      <c r="B899" s="361"/>
      <c r="C899" s="361"/>
      <c r="D899" s="197"/>
      <c r="E899" s="31"/>
      <c r="F899" s="31"/>
      <c r="G899" s="31"/>
      <c r="H899" s="197"/>
      <c r="I899" s="197"/>
      <c r="J899" s="31"/>
      <c r="K899" s="31"/>
    </row>
    <row r="900" spans="1:11" s="13" customFormat="1" ht="15.75">
      <c r="A900" s="357"/>
      <c r="B900" s="361"/>
      <c r="C900" s="361"/>
      <c r="D900" s="197"/>
      <c r="E900" s="31"/>
      <c r="F900" s="31"/>
      <c r="G900" s="31"/>
      <c r="H900" s="197"/>
      <c r="I900" s="197"/>
      <c r="J900" s="31"/>
      <c r="K900" s="31"/>
    </row>
    <row r="901" spans="1:11" s="13" customFormat="1" ht="15.75">
      <c r="A901" s="357"/>
      <c r="B901" s="361"/>
      <c r="C901" s="361"/>
      <c r="D901" s="197"/>
      <c r="E901" s="31"/>
      <c r="F901" s="31"/>
      <c r="G901" s="31"/>
      <c r="H901" s="197"/>
      <c r="I901" s="197"/>
      <c r="J901" s="31"/>
      <c r="K901" s="31"/>
    </row>
    <row r="902" spans="1:11" s="13" customFormat="1" ht="15.75">
      <c r="A902" s="357"/>
      <c r="B902" s="361"/>
      <c r="C902" s="361"/>
      <c r="D902" s="197"/>
      <c r="E902" s="31"/>
      <c r="F902" s="31"/>
      <c r="G902" s="31"/>
      <c r="H902" s="197"/>
      <c r="I902" s="197"/>
      <c r="J902" s="31"/>
      <c r="K902" s="31"/>
    </row>
    <row r="903" spans="1:11" s="13" customFormat="1" ht="15.75">
      <c r="A903" s="357"/>
      <c r="B903" s="361"/>
      <c r="C903" s="361"/>
      <c r="D903" s="197"/>
      <c r="E903" s="31"/>
      <c r="F903" s="31"/>
      <c r="G903" s="31"/>
      <c r="H903" s="197"/>
      <c r="I903" s="197"/>
      <c r="J903" s="31"/>
      <c r="K903" s="31"/>
    </row>
    <row r="904" spans="1:11" s="21" customFormat="1" ht="15.75">
      <c r="A904" s="357"/>
      <c r="B904" s="361"/>
      <c r="C904" s="361"/>
      <c r="D904" s="197"/>
      <c r="E904" s="324"/>
      <c r="F904" s="324"/>
      <c r="G904" s="324"/>
      <c r="H904" s="197"/>
      <c r="I904" s="197"/>
      <c r="J904" s="324"/>
      <c r="K904" s="324"/>
    </row>
    <row r="905" spans="1:11" s="13" customFormat="1" ht="15.75">
      <c r="A905" s="357"/>
      <c r="B905" s="361"/>
      <c r="C905" s="361"/>
      <c r="D905" s="197"/>
      <c r="E905" s="31"/>
      <c r="F905" s="31"/>
      <c r="G905" s="31"/>
      <c r="H905" s="197"/>
      <c r="I905" s="197"/>
      <c r="J905" s="31"/>
      <c r="K905" s="31"/>
    </row>
    <row r="906" spans="1:11" s="13" customFormat="1" ht="15.75">
      <c r="A906" s="357"/>
      <c r="B906" s="361"/>
      <c r="C906" s="361"/>
      <c r="D906" s="197"/>
      <c r="E906" s="31"/>
      <c r="F906" s="31"/>
      <c r="G906" s="31"/>
      <c r="H906" s="197"/>
      <c r="I906" s="197"/>
      <c r="J906" s="31"/>
      <c r="K906" s="31"/>
    </row>
    <row r="907" spans="1:11" s="13" customFormat="1" ht="15.75">
      <c r="A907" s="357"/>
      <c r="B907" s="361"/>
      <c r="C907" s="361"/>
      <c r="D907" s="197"/>
      <c r="E907" s="31"/>
      <c r="F907" s="31"/>
      <c r="G907" s="31"/>
      <c r="H907" s="197"/>
      <c r="I907" s="197"/>
      <c r="J907" s="31"/>
      <c r="K907" s="31"/>
    </row>
    <row r="908" spans="1:11" s="13" customFormat="1" ht="15.75">
      <c r="A908" s="357"/>
      <c r="B908" s="361"/>
      <c r="C908" s="361"/>
      <c r="D908" s="197"/>
      <c r="E908" s="31"/>
      <c r="F908" s="31"/>
      <c r="G908" s="31"/>
      <c r="H908" s="197"/>
      <c r="I908" s="197"/>
      <c r="J908" s="31"/>
      <c r="K908" s="31"/>
    </row>
    <row r="909" spans="1:11" s="13" customFormat="1" ht="15.75">
      <c r="A909" s="357"/>
      <c r="B909" s="361"/>
      <c r="C909" s="361"/>
      <c r="D909" s="197"/>
      <c r="E909" s="31"/>
      <c r="F909" s="31"/>
      <c r="G909" s="31"/>
      <c r="H909" s="197"/>
      <c r="I909" s="197"/>
      <c r="J909" s="31"/>
      <c r="K909" s="31"/>
    </row>
    <row r="910" spans="1:11" s="13" customFormat="1" ht="15.75">
      <c r="A910" s="357"/>
      <c r="B910" s="361"/>
      <c r="C910" s="361"/>
      <c r="D910" s="197"/>
      <c r="E910" s="31"/>
      <c r="F910" s="31"/>
      <c r="G910" s="31"/>
      <c r="H910" s="197"/>
      <c r="I910" s="197"/>
      <c r="J910" s="31"/>
      <c r="K910" s="31"/>
    </row>
    <row r="911" spans="1:11" s="13" customFormat="1" ht="15.75">
      <c r="A911" s="357"/>
      <c r="B911" s="361"/>
      <c r="C911" s="361"/>
      <c r="D911" s="197"/>
      <c r="E911" s="31"/>
      <c r="F911" s="31"/>
      <c r="G911" s="31"/>
      <c r="H911" s="197"/>
      <c r="I911" s="197"/>
      <c r="J911" s="31"/>
      <c r="K911" s="31"/>
    </row>
    <row r="912" spans="1:11" s="13" customFormat="1" ht="15.75">
      <c r="A912" s="357"/>
      <c r="B912" s="361"/>
      <c r="C912" s="361"/>
      <c r="D912" s="197"/>
      <c r="E912" s="31"/>
      <c r="F912" s="31"/>
      <c r="G912" s="31"/>
      <c r="H912" s="197"/>
      <c r="I912" s="197"/>
      <c r="J912" s="31"/>
      <c r="K912" s="31"/>
    </row>
    <row r="913" spans="1:11" s="18" customFormat="1" ht="12.75">
      <c r="A913" s="357"/>
      <c r="B913" s="361"/>
      <c r="C913" s="361"/>
      <c r="D913" s="197"/>
      <c r="E913" s="323"/>
      <c r="F913" s="323"/>
      <c r="G913" s="323"/>
      <c r="H913" s="197"/>
      <c r="I913" s="197"/>
      <c r="J913" s="323"/>
      <c r="K913" s="323"/>
    </row>
    <row r="914" spans="1:11" s="18" customFormat="1" ht="12.75">
      <c r="A914" s="357"/>
      <c r="B914" s="361"/>
      <c r="C914" s="361"/>
      <c r="D914" s="197"/>
      <c r="E914" s="323"/>
      <c r="F914" s="323"/>
      <c r="G914" s="323"/>
      <c r="H914" s="197"/>
      <c r="I914" s="197"/>
      <c r="J914" s="323"/>
      <c r="K914" s="323"/>
    </row>
    <row r="915" spans="1:11" s="18" customFormat="1" ht="12.75">
      <c r="A915" s="357"/>
      <c r="B915" s="361"/>
      <c r="C915" s="361"/>
      <c r="D915" s="197"/>
      <c r="E915" s="323"/>
      <c r="F915" s="323"/>
      <c r="G915" s="323"/>
      <c r="H915" s="197"/>
      <c r="I915" s="197"/>
      <c r="J915" s="323"/>
      <c r="K915" s="323"/>
    </row>
    <row r="916" spans="1:11" s="18" customFormat="1" ht="12.75">
      <c r="A916" s="357"/>
      <c r="B916" s="361"/>
      <c r="C916" s="361"/>
      <c r="D916" s="197"/>
      <c r="E916" s="323"/>
      <c r="F916" s="323"/>
      <c r="G916" s="323"/>
      <c r="H916" s="197"/>
      <c r="I916" s="197"/>
      <c r="J916" s="323"/>
      <c r="K916" s="323"/>
    </row>
    <row r="917" spans="1:11" s="18" customFormat="1" ht="12.75">
      <c r="A917" s="357"/>
      <c r="B917" s="361"/>
      <c r="C917" s="361"/>
      <c r="D917" s="197"/>
      <c r="E917" s="323"/>
      <c r="F917" s="323"/>
      <c r="G917" s="323"/>
      <c r="H917" s="197"/>
      <c r="I917" s="197"/>
      <c r="J917" s="323"/>
      <c r="K917" s="323"/>
    </row>
    <row r="918" spans="1:11" s="18" customFormat="1" ht="12.75">
      <c r="A918" s="357"/>
      <c r="B918" s="361"/>
      <c r="C918" s="361"/>
      <c r="D918" s="197"/>
      <c r="E918" s="323"/>
      <c r="F918" s="323"/>
      <c r="G918" s="323"/>
      <c r="H918" s="197"/>
      <c r="I918" s="197"/>
      <c r="J918" s="323"/>
      <c r="K918" s="323"/>
    </row>
    <row r="919" spans="1:11" s="6" customFormat="1" ht="12.75">
      <c r="A919" s="357"/>
      <c r="B919" s="361"/>
      <c r="C919" s="361"/>
      <c r="D919" s="197"/>
      <c r="E919" s="322"/>
      <c r="F919" s="322"/>
      <c r="G919" s="322"/>
      <c r="H919" s="197"/>
      <c r="I919" s="197"/>
      <c r="J919" s="322"/>
      <c r="K919" s="322"/>
    </row>
    <row r="920" spans="1:11" s="6" customFormat="1" ht="12.75">
      <c r="A920" s="357"/>
      <c r="B920" s="361"/>
      <c r="C920" s="361"/>
      <c r="D920" s="197"/>
      <c r="E920" s="322"/>
      <c r="F920" s="322"/>
      <c r="G920" s="322"/>
      <c r="H920" s="197"/>
      <c r="I920" s="197"/>
      <c r="J920" s="322"/>
      <c r="K920" s="322"/>
    </row>
    <row r="921" spans="1:11" s="18" customFormat="1" ht="12.75">
      <c r="A921" s="357"/>
      <c r="B921" s="361"/>
      <c r="C921" s="361"/>
      <c r="D921" s="197"/>
      <c r="E921" s="323"/>
      <c r="F921" s="323"/>
      <c r="G921" s="323"/>
      <c r="H921" s="197"/>
      <c r="I921" s="197"/>
      <c r="J921" s="323"/>
      <c r="K921" s="323"/>
    </row>
    <row r="922" spans="1:11" s="6" customFormat="1" ht="12.75">
      <c r="A922" s="357"/>
      <c r="B922" s="361"/>
      <c r="C922" s="361"/>
      <c r="D922" s="197"/>
      <c r="E922" s="322"/>
      <c r="F922" s="322"/>
      <c r="G922" s="322"/>
      <c r="H922" s="197"/>
      <c r="I922" s="197"/>
      <c r="J922" s="322"/>
      <c r="K922" s="322"/>
    </row>
    <row r="923" spans="1:11" s="6" customFormat="1" ht="12.75">
      <c r="A923" s="357"/>
      <c r="B923" s="361"/>
      <c r="C923" s="361"/>
      <c r="D923" s="197"/>
      <c r="E923" s="322"/>
      <c r="F923" s="322"/>
      <c r="G923" s="322"/>
      <c r="H923" s="197"/>
      <c r="I923" s="197"/>
      <c r="J923" s="322"/>
      <c r="K923" s="322"/>
    </row>
    <row r="924" spans="1:11" s="6" customFormat="1" ht="12.75">
      <c r="A924" s="357"/>
      <c r="B924" s="361"/>
      <c r="C924" s="361"/>
      <c r="D924" s="197"/>
      <c r="E924" s="322"/>
      <c r="F924" s="322"/>
      <c r="G924" s="322"/>
      <c r="H924" s="197"/>
      <c r="I924" s="197"/>
      <c r="J924" s="322"/>
      <c r="K924" s="322"/>
    </row>
    <row r="925" spans="1:11" s="6" customFormat="1" ht="12.75">
      <c r="A925" s="357"/>
      <c r="B925" s="361"/>
      <c r="C925" s="361"/>
      <c r="D925" s="197"/>
      <c r="E925" s="322"/>
      <c r="F925" s="322"/>
      <c r="G925" s="322"/>
      <c r="H925" s="197"/>
      <c r="I925" s="197"/>
      <c r="J925" s="322"/>
      <c r="K925" s="322"/>
    </row>
    <row r="926" spans="1:11" s="6" customFormat="1" ht="12.75">
      <c r="A926" s="357"/>
      <c r="B926" s="361"/>
      <c r="C926" s="361"/>
      <c r="D926" s="197"/>
      <c r="E926" s="322"/>
      <c r="F926" s="322"/>
      <c r="G926" s="322"/>
      <c r="H926" s="197"/>
      <c r="I926" s="197"/>
      <c r="J926" s="322"/>
      <c r="K926" s="322"/>
    </row>
    <row r="927" spans="1:11" s="6" customFormat="1" ht="12.75">
      <c r="A927" s="357"/>
      <c r="B927" s="361"/>
      <c r="C927" s="361"/>
      <c r="D927" s="197"/>
      <c r="E927" s="322"/>
      <c r="F927" s="322"/>
      <c r="G927" s="322"/>
      <c r="H927" s="197"/>
      <c r="I927" s="197"/>
      <c r="J927" s="322"/>
      <c r="K927" s="322"/>
    </row>
    <row r="928" spans="1:11" s="6" customFormat="1" ht="12.75">
      <c r="A928" s="357"/>
      <c r="B928" s="361"/>
      <c r="C928" s="361"/>
      <c r="D928" s="197"/>
      <c r="E928" s="322"/>
      <c r="F928" s="322"/>
      <c r="G928" s="322"/>
      <c r="H928" s="197"/>
      <c r="I928" s="197"/>
      <c r="J928" s="322"/>
      <c r="K928" s="322"/>
    </row>
    <row r="929" spans="1:11" s="13" customFormat="1" ht="15.75">
      <c r="A929" s="357"/>
      <c r="B929" s="361"/>
      <c r="C929" s="361"/>
      <c r="D929" s="197"/>
      <c r="E929" s="31"/>
      <c r="F929" s="31"/>
      <c r="G929" s="31"/>
      <c r="H929" s="197"/>
      <c r="I929" s="197"/>
      <c r="J929" s="31"/>
      <c r="K929" s="31"/>
    </row>
    <row r="930" spans="1:11" s="13" customFormat="1" ht="15.75">
      <c r="A930" s="357"/>
      <c r="B930" s="361"/>
      <c r="C930" s="361"/>
      <c r="D930" s="197"/>
      <c r="E930" s="31"/>
      <c r="F930" s="31"/>
      <c r="G930" s="31"/>
      <c r="H930" s="197"/>
      <c r="I930" s="197"/>
      <c r="J930" s="31"/>
      <c r="K930" s="31"/>
    </row>
    <row r="931" spans="1:11" s="13" customFormat="1" ht="15.75">
      <c r="A931" s="357"/>
      <c r="B931" s="361"/>
      <c r="C931" s="361"/>
      <c r="D931" s="197"/>
      <c r="E931" s="31"/>
      <c r="F931" s="31"/>
      <c r="G931" s="31"/>
      <c r="H931" s="197"/>
      <c r="I931" s="197"/>
      <c r="J931" s="31"/>
      <c r="K931" s="31"/>
    </row>
    <row r="932" spans="1:11" s="13" customFormat="1" ht="15.75">
      <c r="A932" s="357"/>
      <c r="B932" s="361"/>
      <c r="C932" s="361"/>
      <c r="D932" s="197"/>
      <c r="E932" s="31"/>
      <c r="F932" s="31"/>
      <c r="G932" s="31"/>
      <c r="H932" s="197"/>
      <c r="I932" s="197"/>
      <c r="J932" s="31"/>
      <c r="K932" s="31"/>
    </row>
    <row r="933" spans="1:11" s="13" customFormat="1" ht="15.75">
      <c r="A933" s="357"/>
      <c r="B933" s="361"/>
      <c r="C933" s="361"/>
      <c r="D933" s="197"/>
      <c r="E933" s="31"/>
      <c r="F933" s="31"/>
      <c r="G933" s="31"/>
      <c r="H933" s="197"/>
      <c r="I933" s="197"/>
      <c r="J933" s="31"/>
      <c r="K933" s="31"/>
    </row>
    <row r="934" spans="1:11" s="13" customFormat="1" ht="15.75">
      <c r="A934" s="357"/>
      <c r="B934" s="361"/>
      <c r="C934" s="361"/>
      <c r="D934" s="197"/>
      <c r="E934" s="31"/>
      <c r="F934" s="31"/>
      <c r="G934" s="31"/>
      <c r="H934" s="197"/>
      <c r="I934" s="197"/>
      <c r="J934" s="31"/>
      <c r="K934" s="31"/>
    </row>
    <row r="935" spans="1:11" s="13" customFormat="1" ht="15.75">
      <c r="A935" s="357"/>
      <c r="B935" s="361"/>
      <c r="C935" s="361"/>
      <c r="D935" s="197"/>
      <c r="E935" s="31"/>
      <c r="F935" s="31"/>
      <c r="G935" s="31"/>
      <c r="H935" s="197"/>
      <c r="I935" s="197"/>
      <c r="J935" s="31"/>
      <c r="K935" s="31"/>
    </row>
    <row r="936" spans="1:11" s="13" customFormat="1" ht="15.75">
      <c r="A936" s="357"/>
      <c r="B936" s="361"/>
      <c r="C936" s="361"/>
      <c r="D936" s="197"/>
      <c r="E936" s="31"/>
      <c r="F936" s="31"/>
      <c r="G936" s="31"/>
      <c r="H936" s="197"/>
      <c r="I936" s="197"/>
      <c r="J936" s="31"/>
      <c r="K936" s="31"/>
    </row>
    <row r="937" spans="1:11" s="13" customFormat="1" ht="15.75">
      <c r="A937" s="357"/>
      <c r="B937" s="361"/>
      <c r="C937" s="361"/>
      <c r="D937" s="197"/>
      <c r="E937" s="31"/>
      <c r="F937" s="31"/>
      <c r="G937" s="31"/>
      <c r="H937" s="197"/>
      <c r="I937" s="197"/>
      <c r="J937" s="31"/>
      <c r="K937" s="31"/>
    </row>
    <row r="938" spans="1:11" s="13" customFormat="1" ht="15.75">
      <c r="A938" s="357"/>
      <c r="B938" s="361"/>
      <c r="C938" s="361"/>
      <c r="D938" s="197"/>
      <c r="E938" s="31"/>
      <c r="F938" s="31"/>
      <c r="G938" s="31"/>
      <c r="H938" s="197"/>
      <c r="I938" s="197"/>
      <c r="J938" s="31"/>
      <c r="K938" s="31"/>
    </row>
    <row r="939" spans="1:11" s="13" customFormat="1" ht="15.75">
      <c r="A939" s="357"/>
      <c r="B939" s="361"/>
      <c r="C939" s="361"/>
      <c r="D939" s="197"/>
      <c r="E939" s="31"/>
      <c r="F939" s="31"/>
      <c r="G939" s="31"/>
      <c r="H939" s="197"/>
      <c r="I939" s="197"/>
      <c r="J939" s="31"/>
      <c r="K939" s="31"/>
    </row>
    <row r="940" spans="1:11" s="13" customFormat="1" ht="15.75">
      <c r="A940" s="357"/>
      <c r="B940" s="361"/>
      <c r="C940" s="361"/>
      <c r="D940" s="197"/>
      <c r="E940" s="31"/>
      <c r="F940" s="31"/>
      <c r="G940" s="31"/>
      <c r="H940" s="197"/>
      <c r="I940" s="197"/>
      <c r="J940" s="31"/>
      <c r="K940" s="31"/>
    </row>
    <row r="941" spans="1:11" s="13" customFormat="1" ht="15.75">
      <c r="A941" s="357"/>
      <c r="B941" s="361"/>
      <c r="C941" s="361"/>
      <c r="D941" s="197"/>
      <c r="E941" s="31"/>
      <c r="F941" s="31"/>
      <c r="G941" s="31"/>
      <c r="H941" s="197"/>
      <c r="I941" s="197"/>
      <c r="J941" s="31"/>
      <c r="K941" s="31"/>
    </row>
    <row r="942" spans="1:11" s="13" customFormat="1" ht="15.75">
      <c r="A942" s="357"/>
      <c r="B942" s="361"/>
      <c r="C942" s="361"/>
      <c r="D942" s="197"/>
      <c r="E942" s="31"/>
      <c r="F942" s="31"/>
      <c r="G942" s="31"/>
      <c r="H942" s="197"/>
      <c r="I942" s="197"/>
      <c r="J942" s="31"/>
      <c r="K942" s="31"/>
    </row>
    <row r="943" spans="1:11" s="13" customFormat="1" ht="15.75">
      <c r="A943" s="357"/>
      <c r="B943" s="361"/>
      <c r="C943" s="361"/>
      <c r="D943" s="197"/>
      <c r="E943" s="31"/>
      <c r="F943" s="31"/>
      <c r="G943" s="31"/>
      <c r="H943" s="197"/>
      <c r="I943" s="197"/>
      <c r="J943" s="31"/>
      <c r="K943" s="31"/>
    </row>
    <row r="944" spans="1:11" s="13" customFormat="1" ht="15.75">
      <c r="A944" s="357"/>
      <c r="B944" s="361"/>
      <c r="C944" s="361"/>
      <c r="D944" s="197"/>
      <c r="E944" s="31"/>
      <c r="F944" s="31"/>
      <c r="G944" s="31"/>
      <c r="H944" s="197"/>
      <c r="I944" s="197"/>
      <c r="J944" s="31"/>
      <c r="K944" s="31"/>
    </row>
    <row r="945" spans="1:11" s="13" customFormat="1" ht="15.75">
      <c r="A945" s="357"/>
      <c r="B945" s="361"/>
      <c r="C945" s="361"/>
      <c r="D945" s="197"/>
      <c r="E945" s="31"/>
      <c r="F945" s="31"/>
      <c r="G945" s="31"/>
      <c r="H945" s="197"/>
      <c r="I945" s="197"/>
      <c r="J945" s="31"/>
      <c r="K945" s="31"/>
    </row>
    <row r="946" spans="1:11" s="13" customFormat="1" ht="15.75">
      <c r="A946" s="357"/>
      <c r="B946" s="361"/>
      <c r="C946" s="361"/>
      <c r="D946" s="197"/>
      <c r="E946" s="31"/>
      <c r="F946" s="31"/>
      <c r="G946" s="31"/>
      <c r="H946" s="197"/>
      <c r="I946" s="197"/>
      <c r="J946" s="31"/>
      <c r="K946" s="31"/>
    </row>
    <row r="947" spans="1:11" s="13" customFormat="1" ht="15.75">
      <c r="A947" s="357"/>
      <c r="B947" s="361"/>
      <c r="C947" s="361"/>
      <c r="D947" s="197"/>
      <c r="E947" s="31"/>
      <c r="F947" s="31"/>
      <c r="G947" s="31"/>
      <c r="H947" s="197"/>
      <c r="I947" s="197"/>
      <c r="J947" s="31"/>
      <c r="K947" s="31"/>
    </row>
    <row r="948" spans="1:11" s="13" customFormat="1" ht="15.75">
      <c r="A948" s="357"/>
      <c r="B948" s="361"/>
      <c r="C948" s="361"/>
      <c r="D948" s="197"/>
      <c r="E948" s="31"/>
      <c r="F948" s="31"/>
      <c r="G948" s="31"/>
      <c r="H948" s="197"/>
      <c r="I948" s="197"/>
      <c r="J948" s="31"/>
      <c r="K948" s="31"/>
    </row>
    <row r="949" spans="1:11" s="13" customFormat="1" ht="15.75">
      <c r="A949" s="357"/>
      <c r="B949" s="361"/>
      <c r="C949" s="361"/>
      <c r="D949" s="197"/>
      <c r="E949" s="31"/>
      <c r="F949" s="31"/>
      <c r="G949" s="31"/>
      <c r="H949" s="197"/>
      <c r="I949" s="197"/>
      <c r="J949" s="31"/>
      <c r="K949" s="31"/>
    </row>
    <row r="950" spans="1:11" s="13" customFormat="1" ht="15.75">
      <c r="A950" s="357"/>
      <c r="B950" s="361"/>
      <c r="C950" s="361"/>
      <c r="D950" s="197"/>
      <c r="E950" s="31"/>
      <c r="F950" s="31"/>
      <c r="G950" s="31"/>
      <c r="H950" s="197"/>
      <c r="I950" s="197"/>
      <c r="J950" s="31"/>
      <c r="K950" s="31"/>
    </row>
    <row r="951" spans="1:11" s="13" customFormat="1" ht="15.75">
      <c r="A951" s="357"/>
      <c r="B951" s="361"/>
      <c r="C951" s="361"/>
      <c r="D951" s="197"/>
      <c r="E951" s="31"/>
      <c r="F951" s="31"/>
      <c r="G951" s="31"/>
      <c r="H951" s="197"/>
      <c r="I951" s="197"/>
      <c r="J951" s="31"/>
      <c r="K951" s="31"/>
    </row>
    <row r="952" spans="1:11" s="13" customFormat="1" ht="15.75">
      <c r="A952" s="357"/>
      <c r="B952" s="361"/>
      <c r="C952" s="361"/>
      <c r="D952" s="197"/>
      <c r="E952" s="31"/>
      <c r="F952" s="31"/>
      <c r="G952" s="31"/>
      <c r="H952" s="197"/>
      <c r="I952" s="197"/>
      <c r="J952" s="31"/>
      <c r="K952" s="31"/>
    </row>
    <row r="953" spans="1:11" s="13" customFormat="1" ht="15.75">
      <c r="A953" s="357"/>
      <c r="B953" s="361"/>
      <c r="C953" s="361"/>
      <c r="D953" s="197"/>
      <c r="E953" s="31"/>
      <c r="F953" s="31"/>
      <c r="G953" s="31"/>
      <c r="H953" s="197"/>
      <c r="I953" s="197"/>
      <c r="J953" s="31"/>
      <c r="K953" s="31"/>
    </row>
    <row r="954" spans="1:11" s="13" customFormat="1" ht="15.75">
      <c r="A954" s="357"/>
      <c r="B954" s="361"/>
      <c r="C954" s="361"/>
      <c r="D954" s="197"/>
      <c r="E954" s="31"/>
      <c r="F954" s="31"/>
      <c r="G954" s="31"/>
      <c r="H954" s="197"/>
      <c r="I954" s="197"/>
      <c r="J954" s="31"/>
      <c r="K954" s="31"/>
    </row>
    <row r="955" spans="1:11" s="13" customFormat="1" ht="15.75">
      <c r="A955" s="357"/>
      <c r="B955" s="361"/>
      <c r="C955" s="361"/>
      <c r="D955" s="197"/>
      <c r="E955" s="31"/>
      <c r="F955" s="31"/>
      <c r="G955" s="31"/>
      <c r="H955" s="197"/>
      <c r="I955" s="197"/>
      <c r="J955" s="31"/>
      <c r="K955" s="31"/>
    </row>
    <row r="956" spans="1:11" s="13" customFormat="1" ht="15.75">
      <c r="A956" s="357"/>
      <c r="B956" s="361"/>
      <c r="C956" s="361"/>
      <c r="D956" s="197"/>
      <c r="E956" s="31"/>
      <c r="F956" s="31"/>
      <c r="G956" s="31"/>
      <c r="H956" s="197"/>
      <c r="I956" s="197"/>
      <c r="J956" s="31"/>
      <c r="K956" s="31"/>
    </row>
    <row r="957" spans="1:11" s="13" customFormat="1" ht="15.75">
      <c r="A957" s="357"/>
      <c r="B957" s="361"/>
      <c r="C957" s="361"/>
      <c r="D957" s="197"/>
      <c r="E957" s="31"/>
      <c r="F957" s="31"/>
      <c r="G957" s="31"/>
      <c r="H957" s="197"/>
      <c r="I957" s="197"/>
      <c r="J957" s="31"/>
      <c r="K957" s="31"/>
    </row>
    <row r="958" spans="1:11" s="13" customFormat="1" ht="15.75">
      <c r="A958" s="357"/>
      <c r="B958" s="361"/>
      <c r="C958" s="361"/>
      <c r="D958" s="197"/>
      <c r="E958" s="31"/>
      <c r="F958" s="31"/>
      <c r="G958" s="31"/>
      <c r="H958" s="197"/>
      <c r="I958" s="197"/>
      <c r="J958" s="31"/>
      <c r="K958" s="31"/>
    </row>
    <row r="959" spans="1:11" s="13" customFormat="1" ht="15.75">
      <c r="A959" s="357"/>
      <c r="B959" s="361"/>
      <c r="C959" s="361"/>
      <c r="D959" s="197"/>
      <c r="E959" s="31"/>
      <c r="F959" s="31"/>
      <c r="G959" s="31"/>
      <c r="H959" s="197"/>
      <c r="I959" s="197"/>
      <c r="J959" s="31"/>
      <c r="K959" s="31"/>
    </row>
    <row r="960" spans="1:11" s="13" customFormat="1" ht="15.75">
      <c r="A960" s="357"/>
      <c r="B960" s="361"/>
      <c r="C960" s="361"/>
      <c r="D960" s="197"/>
      <c r="E960" s="31"/>
      <c r="F960" s="31"/>
      <c r="G960" s="31"/>
      <c r="H960" s="197"/>
      <c r="I960" s="197"/>
      <c r="J960" s="31"/>
      <c r="K960" s="31"/>
    </row>
    <row r="961" spans="1:11" s="13" customFormat="1" ht="15.75">
      <c r="A961" s="357"/>
      <c r="B961" s="361"/>
      <c r="C961" s="361"/>
      <c r="D961" s="197"/>
      <c r="E961" s="31"/>
      <c r="F961" s="31"/>
      <c r="G961" s="31"/>
      <c r="H961" s="197"/>
      <c r="I961" s="197"/>
      <c r="J961" s="31"/>
      <c r="K961" s="31"/>
    </row>
    <row r="962" spans="1:11" s="13" customFormat="1" ht="15.75">
      <c r="A962" s="357"/>
      <c r="B962" s="361"/>
      <c r="C962" s="361"/>
      <c r="D962" s="197"/>
      <c r="E962" s="31"/>
      <c r="F962" s="31"/>
      <c r="G962" s="31"/>
      <c r="H962" s="197"/>
      <c r="I962" s="197"/>
      <c r="J962" s="31"/>
      <c r="K962" s="31"/>
    </row>
    <row r="963" spans="1:11" s="13" customFormat="1" ht="15.75">
      <c r="A963" s="357"/>
      <c r="B963" s="361"/>
      <c r="C963" s="361"/>
      <c r="D963" s="197"/>
      <c r="E963" s="31"/>
      <c r="F963" s="31"/>
      <c r="G963" s="31"/>
      <c r="H963" s="197"/>
      <c r="I963" s="197"/>
      <c r="J963" s="31"/>
      <c r="K963" s="31"/>
    </row>
    <row r="964" spans="1:11" s="13" customFormat="1" ht="15.75">
      <c r="A964" s="357"/>
      <c r="B964" s="361"/>
      <c r="C964" s="361"/>
      <c r="D964" s="197"/>
      <c r="E964" s="31"/>
      <c r="F964" s="31"/>
      <c r="G964" s="31"/>
      <c r="H964" s="197"/>
      <c r="I964" s="197"/>
      <c r="J964" s="31"/>
      <c r="K964" s="31"/>
    </row>
    <row r="965" spans="1:11" s="13" customFormat="1" ht="15.75">
      <c r="A965" s="357"/>
      <c r="B965" s="361"/>
      <c r="C965" s="361"/>
      <c r="D965" s="197"/>
      <c r="E965" s="31"/>
      <c r="F965" s="31"/>
      <c r="G965" s="31"/>
      <c r="H965" s="197"/>
      <c r="I965" s="197"/>
      <c r="J965" s="31"/>
      <c r="K965" s="31"/>
    </row>
    <row r="966" spans="1:11" s="13" customFormat="1" ht="15.75">
      <c r="A966" s="357"/>
      <c r="B966" s="361"/>
      <c r="C966" s="361"/>
      <c r="D966" s="197"/>
      <c r="E966" s="31"/>
      <c r="F966" s="31"/>
      <c r="G966" s="31"/>
      <c r="H966" s="197"/>
      <c r="I966" s="197"/>
      <c r="J966" s="31"/>
      <c r="K966" s="31"/>
    </row>
    <row r="967" spans="1:11" s="13" customFormat="1" ht="15.75">
      <c r="A967" s="357"/>
      <c r="B967" s="361"/>
      <c r="C967" s="361"/>
      <c r="D967" s="197"/>
      <c r="E967" s="31"/>
      <c r="F967" s="31"/>
      <c r="G967" s="31"/>
      <c r="H967" s="197"/>
      <c r="I967" s="197"/>
      <c r="J967" s="31"/>
      <c r="K967" s="31"/>
    </row>
    <row r="968" spans="1:11" s="13" customFormat="1" ht="15.75">
      <c r="A968" s="357"/>
      <c r="B968" s="361"/>
      <c r="C968" s="361"/>
      <c r="D968" s="197"/>
      <c r="E968" s="31"/>
      <c r="F968" s="31"/>
      <c r="G968" s="31"/>
      <c r="H968" s="197"/>
      <c r="I968" s="197"/>
      <c r="J968" s="31"/>
      <c r="K968" s="31"/>
    </row>
    <row r="969" spans="1:11" s="13" customFormat="1" ht="15.75">
      <c r="A969" s="357"/>
      <c r="B969" s="361"/>
      <c r="C969" s="361"/>
      <c r="D969" s="197"/>
      <c r="E969" s="31"/>
      <c r="F969" s="31"/>
      <c r="G969" s="31"/>
      <c r="H969" s="197"/>
      <c r="I969" s="197"/>
      <c r="J969" s="31"/>
      <c r="K969" s="31"/>
    </row>
    <row r="970" spans="1:11" s="13" customFormat="1" ht="15.75">
      <c r="A970" s="357"/>
      <c r="B970" s="361"/>
      <c r="C970" s="361"/>
      <c r="D970" s="197"/>
      <c r="E970" s="31"/>
      <c r="F970" s="31"/>
      <c r="G970" s="31"/>
      <c r="H970" s="197"/>
      <c r="I970" s="197"/>
      <c r="J970" s="31"/>
      <c r="K970" s="31"/>
    </row>
    <row r="971" spans="1:11" s="13" customFormat="1" ht="15.75">
      <c r="A971" s="357"/>
      <c r="B971" s="361"/>
      <c r="C971" s="361"/>
      <c r="D971" s="197"/>
      <c r="E971" s="31"/>
      <c r="F971" s="31"/>
      <c r="G971" s="31"/>
      <c r="H971" s="197"/>
      <c r="I971" s="197"/>
      <c r="J971" s="31"/>
      <c r="K971" s="31"/>
    </row>
    <row r="972" spans="1:11" s="13" customFormat="1" ht="15.75">
      <c r="A972" s="357"/>
      <c r="B972" s="361"/>
      <c r="C972" s="361"/>
      <c r="D972" s="197"/>
      <c r="E972" s="31"/>
      <c r="F972" s="31"/>
      <c r="G972" s="31"/>
      <c r="H972" s="197"/>
      <c r="I972" s="197"/>
      <c r="J972" s="31"/>
      <c r="K972" s="31"/>
    </row>
    <row r="973" spans="1:11" s="13" customFormat="1" ht="15.75">
      <c r="A973" s="357"/>
      <c r="B973" s="361"/>
      <c r="C973" s="361"/>
      <c r="D973" s="197"/>
      <c r="E973" s="31"/>
      <c r="F973" s="31"/>
      <c r="G973" s="31"/>
      <c r="H973" s="197"/>
      <c r="I973" s="197"/>
      <c r="J973" s="31"/>
      <c r="K973" s="31"/>
    </row>
    <row r="974" spans="1:11" s="13" customFormat="1" ht="15.75">
      <c r="A974" s="357"/>
      <c r="B974" s="361"/>
      <c r="C974" s="361"/>
      <c r="D974" s="197"/>
      <c r="E974" s="31"/>
      <c r="F974" s="31"/>
      <c r="G974" s="31"/>
      <c r="H974" s="197"/>
      <c r="I974" s="197"/>
      <c r="J974" s="31"/>
      <c r="K974" s="31"/>
    </row>
    <row r="975" spans="1:11" s="13" customFormat="1" ht="15.75">
      <c r="A975" s="357"/>
      <c r="B975" s="361"/>
      <c r="C975" s="361"/>
      <c r="D975" s="197"/>
      <c r="E975" s="31"/>
      <c r="F975" s="31"/>
      <c r="G975" s="31"/>
      <c r="H975" s="197"/>
      <c r="I975" s="197"/>
      <c r="J975" s="31"/>
      <c r="K975" s="31"/>
    </row>
    <row r="976" spans="1:11" s="13" customFormat="1" ht="15.75">
      <c r="A976" s="357"/>
      <c r="B976" s="361"/>
      <c r="C976" s="361"/>
      <c r="D976" s="197"/>
      <c r="E976" s="31"/>
      <c r="F976" s="31"/>
      <c r="G976" s="31"/>
      <c r="H976" s="197"/>
      <c r="I976" s="197"/>
      <c r="J976" s="31"/>
      <c r="K976" s="31"/>
    </row>
    <row r="977" spans="1:11" s="13" customFormat="1" ht="15.75">
      <c r="A977" s="357"/>
      <c r="B977" s="361"/>
      <c r="C977" s="361"/>
      <c r="D977" s="197"/>
      <c r="E977" s="31"/>
      <c r="F977" s="31"/>
      <c r="G977" s="31"/>
      <c r="H977" s="197"/>
      <c r="I977" s="197"/>
      <c r="J977" s="31"/>
      <c r="K977" s="31"/>
    </row>
    <row r="978" spans="1:11" s="13" customFormat="1" ht="15.75">
      <c r="A978" s="357"/>
      <c r="B978" s="361"/>
      <c r="C978" s="361"/>
      <c r="D978" s="197"/>
      <c r="E978" s="31"/>
      <c r="F978" s="31"/>
      <c r="G978" s="31"/>
      <c r="H978" s="197"/>
      <c r="I978" s="197"/>
      <c r="J978" s="31"/>
      <c r="K978" s="31"/>
    </row>
    <row r="979" spans="1:11" s="13" customFormat="1" ht="15.75">
      <c r="A979" s="357"/>
      <c r="B979" s="361"/>
      <c r="C979" s="361"/>
      <c r="D979" s="197"/>
      <c r="E979" s="31"/>
      <c r="F979" s="31"/>
      <c r="G979" s="31"/>
      <c r="H979" s="197"/>
      <c r="I979" s="197"/>
      <c r="J979" s="31"/>
      <c r="K979" s="31"/>
    </row>
    <row r="980" spans="1:11" s="13" customFormat="1" ht="15.75">
      <c r="A980" s="357"/>
      <c r="B980" s="361"/>
      <c r="C980" s="361"/>
      <c r="D980" s="197"/>
      <c r="E980" s="31"/>
      <c r="F980" s="31"/>
      <c r="G980" s="31"/>
      <c r="H980" s="197"/>
      <c r="I980" s="197"/>
      <c r="J980" s="31"/>
      <c r="K980" s="31"/>
    </row>
    <row r="981" spans="1:11" s="13" customFormat="1" ht="15.75">
      <c r="A981" s="357"/>
      <c r="B981" s="361"/>
      <c r="C981" s="361"/>
      <c r="D981" s="197"/>
      <c r="E981" s="31"/>
      <c r="F981" s="31"/>
      <c r="G981" s="31"/>
      <c r="H981" s="197"/>
      <c r="I981" s="197"/>
      <c r="J981" s="31"/>
      <c r="K981" s="31"/>
    </row>
    <row r="982" spans="1:11" s="13" customFormat="1" ht="15.75">
      <c r="A982" s="357"/>
      <c r="B982" s="361"/>
      <c r="C982" s="361"/>
      <c r="D982" s="197"/>
      <c r="E982" s="31"/>
      <c r="F982" s="31"/>
      <c r="G982" s="31"/>
      <c r="H982" s="197"/>
      <c r="I982" s="197"/>
      <c r="J982" s="31"/>
      <c r="K982" s="31"/>
    </row>
    <row r="983" spans="1:11" s="13" customFormat="1" ht="15.75">
      <c r="A983" s="357"/>
      <c r="B983" s="361"/>
      <c r="C983" s="361"/>
      <c r="D983" s="197"/>
      <c r="E983" s="31"/>
      <c r="F983" s="31"/>
      <c r="G983" s="31"/>
      <c r="H983" s="197"/>
      <c r="I983" s="197"/>
      <c r="J983" s="31"/>
      <c r="K983" s="31"/>
    </row>
    <row r="984" spans="1:11" s="13" customFormat="1" ht="15.75">
      <c r="A984" s="357"/>
      <c r="B984" s="361"/>
      <c r="C984" s="361"/>
      <c r="D984" s="197"/>
      <c r="E984" s="31"/>
      <c r="F984" s="31"/>
      <c r="G984" s="31"/>
      <c r="H984" s="197"/>
      <c r="I984" s="197"/>
      <c r="J984" s="31"/>
      <c r="K984" s="31"/>
    </row>
    <row r="985" spans="1:11" s="13" customFormat="1" ht="15.75">
      <c r="A985" s="357"/>
      <c r="B985" s="361"/>
      <c r="C985" s="361"/>
      <c r="D985" s="197"/>
      <c r="E985" s="31"/>
      <c r="F985" s="31"/>
      <c r="G985" s="31"/>
      <c r="H985" s="197"/>
      <c r="I985" s="197"/>
      <c r="J985" s="31"/>
      <c r="K985" s="31"/>
    </row>
    <row r="986" spans="1:11" s="13" customFormat="1" ht="15.75">
      <c r="A986" s="357"/>
      <c r="B986" s="361"/>
      <c r="C986" s="361"/>
      <c r="D986" s="197"/>
      <c r="E986" s="31"/>
      <c r="F986" s="31"/>
      <c r="G986" s="31"/>
      <c r="H986" s="197"/>
      <c r="I986" s="197"/>
      <c r="J986" s="31"/>
      <c r="K986" s="31"/>
    </row>
    <row r="987" spans="1:11" s="13" customFormat="1" ht="15.75">
      <c r="A987" s="357"/>
      <c r="B987" s="361"/>
      <c r="C987" s="361"/>
      <c r="D987" s="197"/>
      <c r="E987" s="31"/>
      <c r="F987" s="31"/>
      <c r="G987" s="31"/>
      <c r="H987" s="197"/>
      <c r="I987" s="197"/>
      <c r="J987" s="31"/>
      <c r="K987" s="31"/>
    </row>
    <row r="988" spans="1:11" s="13" customFormat="1" ht="15.75">
      <c r="A988" s="357"/>
      <c r="B988" s="361"/>
      <c r="C988" s="361"/>
      <c r="D988" s="197"/>
      <c r="E988" s="31"/>
      <c r="F988" s="31"/>
      <c r="G988" s="31"/>
      <c r="H988" s="197"/>
      <c r="I988" s="197"/>
      <c r="J988" s="31"/>
      <c r="K988" s="31"/>
    </row>
    <row r="989" spans="1:11" s="13" customFormat="1" ht="15.75">
      <c r="A989" s="357"/>
      <c r="B989" s="361"/>
      <c r="C989" s="361"/>
      <c r="D989" s="197"/>
      <c r="E989" s="31"/>
      <c r="F989" s="31"/>
      <c r="G989" s="31"/>
      <c r="H989" s="197"/>
      <c r="I989" s="197"/>
      <c r="J989" s="31"/>
      <c r="K989" s="31"/>
    </row>
    <row r="990" spans="1:11" s="13" customFormat="1" ht="15.75">
      <c r="A990" s="357"/>
      <c r="B990" s="361"/>
      <c r="C990" s="361"/>
      <c r="D990" s="197"/>
      <c r="E990" s="31"/>
      <c r="F990" s="31"/>
      <c r="G990" s="31"/>
      <c r="H990" s="197"/>
      <c r="I990" s="197"/>
      <c r="J990" s="31"/>
      <c r="K990" s="31"/>
    </row>
    <row r="991" spans="1:11" s="13" customFormat="1" ht="15.75">
      <c r="A991" s="357"/>
      <c r="B991" s="361"/>
      <c r="C991" s="361"/>
      <c r="D991" s="197"/>
      <c r="E991" s="31"/>
      <c r="F991" s="31"/>
      <c r="G991" s="31"/>
      <c r="H991" s="197"/>
      <c r="I991" s="197"/>
      <c r="J991" s="31"/>
      <c r="K991" s="31"/>
    </row>
    <row r="992" spans="1:11" s="13" customFormat="1" ht="15.75">
      <c r="A992" s="357"/>
      <c r="B992" s="361"/>
      <c r="C992" s="361"/>
      <c r="D992" s="197"/>
      <c r="E992" s="31"/>
      <c r="F992" s="31"/>
      <c r="G992" s="31"/>
      <c r="H992" s="197"/>
      <c r="I992" s="197"/>
      <c r="J992" s="31"/>
      <c r="K992" s="31"/>
    </row>
    <row r="993" spans="1:11" s="13" customFormat="1" ht="15.75">
      <c r="A993" s="357"/>
      <c r="B993" s="361"/>
      <c r="C993" s="361"/>
      <c r="D993" s="197"/>
      <c r="E993" s="31"/>
      <c r="F993" s="31"/>
      <c r="G993" s="31"/>
      <c r="H993" s="197"/>
      <c r="I993" s="197"/>
      <c r="J993" s="31"/>
      <c r="K993" s="31"/>
    </row>
    <row r="994" spans="1:11" s="13" customFormat="1" ht="15.75">
      <c r="A994" s="357"/>
      <c r="B994" s="361"/>
      <c r="C994" s="361"/>
      <c r="D994" s="197"/>
      <c r="E994" s="31"/>
      <c r="F994" s="31"/>
      <c r="G994" s="31"/>
      <c r="H994" s="197"/>
      <c r="I994" s="197"/>
      <c r="J994" s="31"/>
      <c r="K994" s="31"/>
    </row>
    <row r="995" spans="1:11" s="13" customFormat="1" ht="15.75">
      <c r="A995" s="357"/>
      <c r="B995" s="361"/>
      <c r="C995" s="361"/>
      <c r="D995" s="197"/>
      <c r="E995" s="31"/>
      <c r="F995" s="31"/>
      <c r="G995" s="31"/>
      <c r="H995" s="197"/>
      <c r="I995" s="197"/>
      <c r="J995" s="31"/>
      <c r="K995" s="31"/>
    </row>
    <row r="996" spans="1:11" s="13" customFormat="1" ht="15.75">
      <c r="A996" s="357"/>
      <c r="B996" s="361"/>
      <c r="C996" s="361"/>
      <c r="D996" s="197"/>
      <c r="E996" s="31"/>
      <c r="F996" s="31"/>
      <c r="G996" s="31"/>
      <c r="H996" s="197"/>
      <c r="I996" s="197"/>
      <c r="J996" s="31"/>
      <c r="K996" s="31"/>
    </row>
    <row r="997" spans="1:11" s="13" customFormat="1" ht="15.75">
      <c r="A997" s="357"/>
      <c r="B997" s="361"/>
      <c r="C997" s="361"/>
      <c r="D997" s="197"/>
      <c r="E997" s="31"/>
      <c r="F997" s="31"/>
      <c r="G997" s="31"/>
      <c r="H997" s="197"/>
      <c r="I997" s="197"/>
      <c r="J997" s="31"/>
      <c r="K997" s="31"/>
    </row>
    <row r="998" spans="1:11" s="13" customFormat="1" ht="15.75">
      <c r="A998" s="357"/>
      <c r="B998" s="361"/>
      <c r="C998" s="361"/>
      <c r="D998" s="197"/>
      <c r="E998" s="31"/>
      <c r="F998" s="31"/>
      <c r="G998" s="31"/>
      <c r="H998" s="197"/>
      <c r="I998" s="197"/>
      <c r="J998" s="31"/>
      <c r="K998" s="31"/>
    </row>
    <row r="999" spans="1:11" s="13" customFormat="1" ht="15.75">
      <c r="A999" s="357"/>
      <c r="B999" s="361"/>
      <c r="C999" s="361"/>
      <c r="D999" s="197"/>
      <c r="E999" s="31"/>
      <c r="F999" s="31"/>
      <c r="G999" s="31"/>
      <c r="H999" s="197"/>
      <c r="I999" s="197"/>
      <c r="J999" s="31"/>
      <c r="K999" s="31"/>
    </row>
    <row r="1000" spans="1:11" s="13" customFormat="1" ht="15.75">
      <c r="A1000" s="357"/>
      <c r="B1000" s="361"/>
      <c r="C1000" s="361"/>
      <c r="D1000" s="197"/>
      <c r="E1000" s="31"/>
      <c r="F1000" s="31"/>
      <c r="G1000" s="31"/>
      <c r="H1000" s="197"/>
      <c r="I1000" s="197"/>
      <c r="J1000" s="31"/>
      <c r="K1000" s="31"/>
    </row>
    <row r="1001" spans="1:11" s="13" customFormat="1" ht="15.75">
      <c r="A1001" s="357"/>
      <c r="B1001" s="361"/>
      <c r="C1001" s="361"/>
      <c r="D1001" s="197"/>
      <c r="E1001" s="31"/>
      <c r="F1001" s="31"/>
      <c r="G1001" s="31"/>
      <c r="H1001" s="197"/>
      <c r="I1001" s="197"/>
      <c r="J1001" s="31"/>
      <c r="K1001" s="31"/>
    </row>
    <row r="1002" spans="1:11" s="13" customFormat="1" ht="15.75">
      <c r="A1002" s="357"/>
      <c r="B1002" s="361"/>
      <c r="C1002" s="361"/>
      <c r="D1002" s="197"/>
      <c r="E1002" s="31"/>
      <c r="F1002" s="31"/>
      <c r="G1002" s="31"/>
      <c r="H1002" s="197"/>
      <c r="I1002" s="197"/>
      <c r="J1002" s="31"/>
      <c r="K1002" s="31"/>
    </row>
    <row r="1003" spans="1:11" s="13" customFormat="1" ht="15.75">
      <c r="A1003" s="357"/>
      <c r="B1003" s="361"/>
      <c r="C1003" s="361"/>
      <c r="D1003" s="197"/>
      <c r="E1003" s="31"/>
      <c r="F1003" s="31"/>
      <c r="G1003" s="31"/>
      <c r="H1003" s="197"/>
      <c r="I1003" s="197"/>
      <c r="J1003" s="31"/>
      <c r="K1003" s="31"/>
    </row>
    <row r="1004" spans="1:11" s="13" customFormat="1" ht="15.75">
      <c r="A1004" s="357"/>
      <c r="B1004" s="361"/>
      <c r="C1004" s="361"/>
      <c r="D1004" s="197"/>
      <c r="E1004" s="31"/>
      <c r="F1004" s="31"/>
      <c r="G1004" s="31"/>
      <c r="H1004" s="197"/>
      <c r="I1004" s="197"/>
      <c r="J1004" s="31"/>
      <c r="K1004" s="31"/>
    </row>
    <row r="1005" spans="1:11" s="13" customFormat="1" ht="15.75">
      <c r="A1005" s="357"/>
      <c r="B1005" s="361"/>
      <c r="C1005" s="361"/>
      <c r="D1005" s="197"/>
      <c r="E1005" s="31"/>
      <c r="F1005" s="31"/>
      <c r="G1005" s="31"/>
      <c r="H1005" s="197"/>
      <c r="I1005" s="197"/>
      <c r="J1005" s="31"/>
      <c r="K1005" s="31"/>
    </row>
    <row r="1006" spans="1:11" s="13" customFormat="1" ht="15.75">
      <c r="A1006" s="357"/>
      <c r="B1006" s="361"/>
      <c r="C1006" s="361"/>
      <c r="D1006" s="197"/>
      <c r="E1006" s="31"/>
      <c r="F1006" s="31"/>
      <c r="G1006" s="31"/>
      <c r="H1006" s="197"/>
      <c r="I1006" s="197"/>
      <c r="J1006" s="31"/>
      <c r="K1006" s="31"/>
    </row>
    <row r="1007" spans="1:11" s="13" customFormat="1" ht="15.75">
      <c r="A1007" s="357"/>
      <c r="B1007" s="361"/>
      <c r="C1007" s="361"/>
      <c r="D1007" s="197"/>
      <c r="E1007" s="31"/>
      <c r="F1007" s="31"/>
      <c r="G1007" s="31"/>
      <c r="H1007" s="197"/>
      <c r="I1007" s="197"/>
      <c r="J1007" s="31"/>
      <c r="K1007" s="31"/>
    </row>
    <row r="1008" spans="1:11" s="13" customFormat="1" ht="15.75">
      <c r="A1008" s="357"/>
      <c r="B1008" s="361"/>
      <c r="C1008" s="361"/>
      <c r="D1008" s="197"/>
      <c r="E1008" s="31"/>
      <c r="F1008" s="31"/>
      <c r="G1008" s="31"/>
      <c r="H1008" s="197"/>
      <c r="I1008" s="197"/>
      <c r="J1008" s="31"/>
      <c r="K1008" s="31"/>
    </row>
    <row r="1009" spans="1:11" s="13" customFormat="1" ht="15.75">
      <c r="A1009" s="357"/>
      <c r="B1009" s="361"/>
      <c r="C1009" s="361"/>
      <c r="D1009" s="197"/>
      <c r="E1009" s="31"/>
      <c r="F1009" s="31"/>
      <c r="G1009" s="31"/>
      <c r="H1009" s="197"/>
      <c r="I1009" s="197"/>
      <c r="J1009" s="31"/>
      <c r="K1009" s="31"/>
    </row>
    <row r="1010" spans="1:11" s="13" customFormat="1" ht="15.75">
      <c r="A1010" s="357"/>
      <c r="B1010" s="361"/>
      <c r="C1010" s="361"/>
      <c r="D1010" s="197"/>
      <c r="E1010" s="31"/>
      <c r="F1010" s="31"/>
      <c r="G1010" s="31"/>
      <c r="H1010" s="197"/>
      <c r="I1010" s="197"/>
      <c r="J1010" s="31"/>
      <c r="K1010" s="31"/>
    </row>
    <row r="1011" spans="1:11" s="13" customFormat="1" ht="15.75">
      <c r="A1011" s="357"/>
      <c r="B1011" s="361"/>
      <c r="C1011" s="361"/>
      <c r="D1011" s="197"/>
      <c r="E1011" s="31"/>
      <c r="F1011" s="31"/>
      <c r="G1011" s="31"/>
      <c r="H1011" s="197"/>
      <c r="I1011" s="197"/>
      <c r="J1011" s="31"/>
      <c r="K1011" s="31"/>
    </row>
    <row r="1012" spans="1:11" s="13" customFormat="1" ht="15.75">
      <c r="A1012" s="357"/>
      <c r="B1012" s="361"/>
      <c r="C1012" s="361"/>
      <c r="D1012" s="197"/>
      <c r="E1012" s="31"/>
      <c r="F1012" s="31"/>
      <c r="G1012" s="31"/>
      <c r="H1012" s="197"/>
      <c r="I1012" s="197"/>
      <c r="J1012" s="31"/>
      <c r="K1012" s="31"/>
    </row>
    <row r="1013" spans="1:11" s="13" customFormat="1" ht="15.75">
      <c r="A1013" s="357"/>
      <c r="B1013" s="361"/>
      <c r="C1013" s="361"/>
      <c r="D1013" s="197"/>
      <c r="E1013" s="31"/>
      <c r="F1013" s="31"/>
      <c r="G1013" s="31"/>
      <c r="H1013" s="197"/>
      <c r="I1013" s="197"/>
      <c r="J1013" s="31"/>
      <c r="K1013" s="31"/>
    </row>
    <row r="1014" spans="1:11" s="13" customFormat="1" ht="15.75">
      <c r="A1014" s="357"/>
      <c r="B1014" s="361"/>
      <c r="C1014" s="361"/>
      <c r="D1014" s="197"/>
      <c r="E1014" s="31"/>
      <c r="F1014" s="31"/>
      <c r="G1014" s="31"/>
      <c r="H1014" s="197"/>
      <c r="I1014" s="197"/>
      <c r="J1014" s="31"/>
      <c r="K1014" s="31"/>
    </row>
    <row r="1015" spans="1:11" s="13" customFormat="1" ht="15.75">
      <c r="A1015" s="357"/>
      <c r="B1015" s="361"/>
      <c r="C1015" s="361"/>
      <c r="D1015" s="197"/>
      <c r="E1015" s="31"/>
      <c r="F1015" s="31"/>
      <c r="G1015" s="31"/>
      <c r="H1015" s="197"/>
      <c r="I1015" s="197"/>
      <c r="J1015" s="31"/>
      <c r="K1015" s="31"/>
    </row>
    <row r="1016" spans="1:11" s="13" customFormat="1" ht="15.75">
      <c r="A1016" s="357"/>
      <c r="B1016" s="361"/>
      <c r="C1016" s="361"/>
      <c r="D1016" s="197"/>
      <c r="E1016" s="31"/>
      <c r="F1016" s="31"/>
      <c r="G1016" s="31"/>
      <c r="H1016" s="197"/>
      <c r="I1016" s="197"/>
      <c r="J1016" s="31"/>
      <c r="K1016" s="31"/>
    </row>
    <row r="1017" spans="1:11" s="13" customFormat="1" ht="15.75">
      <c r="A1017" s="357"/>
      <c r="B1017" s="361"/>
      <c r="C1017" s="361"/>
      <c r="D1017" s="197"/>
      <c r="E1017" s="31"/>
      <c r="F1017" s="31"/>
      <c r="G1017" s="31"/>
      <c r="H1017" s="197"/>
      <c r="I1017" s="197"/>
      <c r="J1017" s="31"/>
      <c r="K1017" s="31"/>
    </row>
    <row r="1018" spans="1:11" s="13" customFormat="1" ht="15.75">
      <c r="A1018" s="357"/>
      <c r="B1018" s="361"/>
      <c r="C1018" s="361"/>
      <c r="D1018" s="197"/>
      <c r="E1018" s="31"/>
      <c r="F1018" s="31"/>
      <c r="G1018" s="31"/>
      <c r="H1018" s="197"/>
      <c r="I1018" s="197"/>
      <c r="J1018" s="31"/>
      <c r="K1018" s="31"/>
    </row>
    <row r="1019" spans="1:11" s="13" customFormat="1" ht="15.75">
      <c r="A1019" s="357"/>
      <c r="B1019" s="361"/>
      <c r="C1019" s="361"/>
      <c r="D1019" s="197"/>
      <c r="E1019" s="31"/>
      <c r="F1019" s="31"/>
      <c r="G1019" s="31"/>
      <c r="H1019" s="197"/>
      <c r="I1019" s="197"/>
      <c r="J1019" s="31"/>
      <c r="K1019" s="31"/>
    </row>
    <row r="1020" spans="1:11" s="13" customFormat="1" ht="15.75">
      <c r="A1020" s="357"/>
      <c r="B1020" s="361"/>
      <c r="C1020" s="361"/>
      <c r="D1020" s="197"/>
      <c r="E1020" s="31"/>
      <c r="F1020" s="31"/>
      <c r="G1020" s="31"/>
      <c r="H1020" s="197"/>
      <c r="I1020" s="197"/>
      <c r="J1020" s="31"/>
      <c r="K1020" s="31"/>
    </row>
    <row r="1021" spans="1:11" s="13" customFormat="1" ht="15.75">
      <c r="A1021" s="357"/>
      <c r="B1021" s="361"/>
      <c r="C1021" s="361"/>
      <c r="D1021" s="197"/>
      <c r="E1021" s="31"/>
      <c r="F1021" s="31"/>
      <c r="G1021" s="31"/>
      <c r="H1021" s="197"/>
      <c r="I1021" s="197"/>
      <c r="J1021" s="31"/>
      <c r="K1021" s="31"/>
    </row>
    <row r="1022" spans="1:11" s="13" customFormat="1" ht="15.75">
      <c r="A1022" s="357"/>
      <c r="B1022" s="361"/>
      <c r="C1022" s="361"/>
      <c r="D1022" s="197"/>
      <c r="E1022" s="31"/>
      <c r="F1022" s="31"/>
      <c r="G1022" s="31"/>
      <c r="H1022" s="197"/>
      <c r="I1022" s="197"/>
      <c r="J1022" s="31"/>
      <c r="K1022" s="31"/>
    </row>
    <row r="1023" spans="1:11" s="13" customFormat="1" ht="15.75">
      <c r="A1023" s="357"/>
      <c r="B1023" s="361"/>
      <c r="C1023" s="361"/>
      <c r="D1023" s="197"/>
      <c r="E1023" s="31"/>
      <c r="F1023" s="31"/>
      <c r="G1023" s="31"/>
      <c r="H1023" s="197"/>
      <c r="I1023" s="197"/>
      <c r="J1023" s="31"/>
      <c r="K1023" s="31"/>
    </row>
    <row r="1024" spans="1:11" s="13" customFormat="1" ht="15.75">
      <c r="A1024" s="357"/>
      <c r="B1024" s="361"/>
      <c r="C1024" s="361"/>
      <c r="D1024" s="197"/>
      <c r="E1024" s="31"/>
      <c r="F1024" s="31"/>
      <c r="G1024" s="31"/>
      <c r="H1024" s="197"/>
      <c r="I1024" s="197"/>
      <c r="J1024" s="31"/>
      <c r="K1024" s="31"/>
    </row>
    <row r="1025" spans="1:11" s="13" customFormat="1" ht="15.75">
      <c r="A1025" s="357"/>
      <c r="B1025" s="361"/>
      <c r="C1025" s="361"/>
      <c r="D1025" s="197"/>
      <c r="E1025" s="31"/>
      <c r="F1025" s="31"/>
      <c r="G1025" s="31"/>
      <c r="H1025" s="197"/>
      <c r="I1025" s="197"/>
      <c r="J1025" s="31"/>
      <c r="K1025" s="31"/>
    </row>
    <row r="1026" spans="1:11" s="13" customFormat="1" ht="15.75">
      <c r="A1026" s="357"/>
      <c r="B1026" s="361"/>
      <c r="C1026" s="361"/>
      <c r="D1026" s="197"/>
      <c r="E1026" s="31"/>
      <c r="F1026" s="31"/>
      <c r="G1026" s="31"/>
      <c r="H1026" s="197"/>
      <c r="I1026" s="197"/>
      <c r="J1026" s="31"/>
      <c r="K1026" s="31"/>
    </row>
    <row r="1027" spans="1:11" s="13" customFormat="1" ht="15.75">
      <c r="A1027" s="357"/>
      <c r="B1027" s="361"/>
      <c r="C1027" s="361"/>
      <c r="D1027" s="197"/>
      <c r="E1027" s="31"/>
      <c r="F1027" s="31"/>
      <c r="G1027" s="31"/>
      <c r="H1027" s="197"/>
      <c r="I1027" s="197"/>
      <c r="J1027" s="31"/>
      <c r="K1027" s="31"/>
    </row>
    <row r="1028" spans="1:11" s="13" customFormat="1" ht="15.75">
      <c r="A1028" s="357"/>
      <c r="B1028" s="361"/>
      <c r="C1028" s="361"/>
      <c r="D1028" s="197"/>
      <c r="E1028" s="31"/>
      <c r="F1028" s="31"/>
      <c r="G1028" s="31"/>
      <c r="H1028" s="197"/>
      <c r="I1028" s="197"/>
      <c r="J1028" s="31"/>
      <c r="K1028" s="31"/>
    </row>
    <row r="1029" spans="1:11" s="13" customFormat="1" ht="15.75">
      <c r="A1029" s="357"/>
      <c r="B1029" s="361"/>
      <c r="C1029" s="361"/>
      <c r="D1029" s="197"/>
      <c r="E1029" s="31"/>
      <c r="F1029" s="31"/>
      <c r="G1029" s="31"/>
      <c r="H1029" s="197"/>
      <c r="I1029" s="197"/>
      <c r="J1029" s="31"/>
      <c r="K1029" s="31"/>
    </row>
    <row r="1030" spans="1:11" s="13" customFormat="1" ht="15.75">
      <c r="A1030" s="357"/>
      <c r="B1030" s="361"/>
      <c r="C1030" s="361"/>
      <c r="D1030" s="197"/>
      <c r="E1030" s="31"/>
      <c r="F1030" s="31"/>
      <c r="G1030" s="31"/>
      <c r="H1030" s="197"/>
      <c r="I1030" s="197"/>
      <c r="J1030" s="31"/>
      <c r="K1030" s="31"/>
    </row>
    <row r="1031" spans="1:11" s="13" customFormat="1" ht="15.75">
      <c r="A1031" s="357"/>
      <c r="B1031" s="361"/>
      <c r="C1031" s="361"/>
      <c r="D1031" s="197"/>
      <c r="E1031" s="31"/>
      <c r="F1031" s="31"/>
      <c r="G1031" s="31"/>
      <c r="H1031" s="197"/>
      <c r="I1031" s="197"/>
      <c r="J1031" s="31"/>
      <c r="K1031" s="31"/>
    </row>
    <row r="1032" spans="1:11" s="13" customFormat="1" ht="15.75">
      <c r="A1032" s="357"/>
      <c r="B1032" s="361"/>
      <c r="C1032" s="361"/>
      <c r="D1032" s="197"/>
      <c r="E1032" s="31"/>
      <c r="F1032" s="31"/>
      <c r="G1032" s="31"/>
      <c r="H1032" s="197"/>
      <c r="I1032" s="197"/>
      <c r="J1032" s="31"/>
      <c r="K1032" s="31"/>
    </row>
    <row r="1033" spans="1:11" s="13" customFormat="1" ht="15.75">
      <c r="A1033" s="357"/>
      <c r="B1033" s="361"/>
      <c r="C1033" s="361"/>
      <c r="D1033" s="197"/>
      <c r="E1033" s="31"/>
      <c r="F1033" s="31"/>
      <c r="G1033" s="31"/>
      <c r="H1033" s="197"/>
      <c r="I1033" s="197"/>
      <c r="J1033" s="31"/>
      <c r="K1033" s="31"/>
    </row>
    <row r="1034" spans="1:11" s="13" customFormat="1" ht="15.75">
      <c r="A1034" s="357"/>
      <c r="B1034" s="361"/>
      <c r="C1034" s="361"/>
      <c r="D1034" s="197"/>
      <c r="E1034" s="31"/>
      <c r="F1034" s="31"/>
      <c r="G1034" s="31"/>
      <c r="H1034" s="197"/>
      <c r="I1034" s="197"/>
      <c r="J1034" s="31"/>
      <c r="K1034" s="31"/>
    </row>
    <row r="1035" spans="1:11" s="13" customFormat="1" ht="15.75">
      <c r="A1035" s="357"/>
      <c r="B1035" s="361"/>
      <c r="C1035" s="361"/>
      <c r="D1035" s="197"/>
      <c r="E1035" s="31"/>
      <c r="F1035" s="31"/>
      <c r="G1035" s="31"/>
      <c r="H1035" s="197"/>
      <c r="I1035" s="197"/>
      <c r="J1035" s="31"/>
      <c r="K1035" s="31"/>
    </row>
    <row r="1036" spans="1:11" s="13" customFormat="1" ht="15.75">
      <c r="A1036" s="357"/>
      <c r="B1036" s="361"/>
      <c r="C1036" s="361"/>
      <c r="D1036" s="197"/>
      <c r="E1036" s="31"/>
      <c r="F1036" s="31"/>
      <c r="G1036" s="31"/>
      <c r="H1036" s="197"/>
      <c r="I1036" s="197"/>
      <c r="J1036" s="31"/>
      <c r="K1036" s="31"/>
    </row>
    <row r="1037" spans="1:11" s="13" customFormat="1" ht="15.75">
      <c r="A1037" s="357"/>
      <c r="B1037" s="361"/>
      <c r="C1037" s="361"/>
      <c r="D1037" s="197"/>
      <c r="E1037" s="31"/>
      <c r="F1037" s="31"/>
      <c r="G1037" s="31"/>
      <c r="H1037" s="197"/>
      <c r="I1037" s="197"/>
      <c r="J1037" s="31"/>
      <c r="K1037" s="31"/>
    </row>
    <row r="1038" spans="1:11" s="13" customFormat="1" ht="15.75">
      <c r="A1038" s="357"/>
      <c r="B1038" s="361"/>
      <c r="C1038" s="361"/>
      <c r="D1038" s="197"/>
      <c r="E1038" s="31"/>
      <c r="F1038" s="31"/>
      <c r="G1038" s="31"/>
      <c r="H1038" s="197"/>
      <c r="I1038" s="197"/>
      <c r="J1038" s="31"/>
      <c r="K1038" s="31"/>
    </row>
    <row r="1039" spans="1:11" s="13" customFormat="1" ht="15.75">
      <c r="A1039" s="357"/>
      <c r="B1039" s="361"/>
      <c r="C1039" s="361"/>
      <c r="D1039" s="197"/>
      <c r="E1039" s="31"/>
      <c r="F1039" s="31"/>
      <c r="G1039" s="31"/>
      <c r="H1039" s="197"/>
      <c r="I1039" s="197"/>
      <c r="J1039" s="31"/>
      <c r="K1039" s="31"/>
    </row>
    <row r="1040" spans="1:11" s="13" customFormat="1" ht="15.75">
      <c r="A1040" s="357"/>
      <c r="B1040" s="361"/>
      <c r="C1040" s="361"/>
      <c r="D1040" s="197"/>
      <c r="E1040" s="31"/>
      <c r="F1040" s="31"/>
      <c r="G1040" s="31"/>
      <c r="H1040" s="197"/>
      <c r="I1040" s="197"/>
      <c r="J1040" s="31"/>
      <c r="K1040" s="31"/>
    </row>
    <row r="1041" spans="1:11" s="13" customFormat="1" ht="15.75">
      <c r="A1041" s="357"/>
      <c r="B1041" s="361"/>
      <c r="C1041" s="361"/>
      <c r="D1041" s="197"/>
      <c r="E1041" s="31"/>
      <c r="F1041" s="31"/>
      <c r="G1041" s="31"/>
      <c r="H1041" s="197"/>
      <c r="I1041" s="197"/>
      <c r="J1041" s="31"/>
      <c r="K1041" s="31"/>
    </row>
    <row r="1042" spans="1:11" s="13" customFormat="1" ht="15.75">
      <c r="A1042" s="357"/>
      <c r="B1042" s="361"/>
      <c r="C1042" s="361"/>
      <c r="D1042" s="197"/>
      <c r="E1042" s="31"/>
      <c r="F1042" s="31"/>
      <c r="G1042" s="31"/>
      <c r="H1042" s="197"/>
      <c r="I1042" s="197"/>
      <c r="J1042" s="31"/>
      <c r="K1042" s="31"/>
    </row>
    <row r="1043" spans="1:11" s="13" customFormat="1" ht="15.75">
      <c r="A1043" s="357"/>
      <c r="B1043" s="361"/>
      <c r="C1043" s="361"/>
      <c r="D1043" s="197"/>
      <c r="E1043" s="31"/>
      <c r="F1043" s="31"/>
      <c r="G1043" s="31"/>
      <c r="H1043" s="197"/>
      <c r="I1043" s="197"/>
      <c r="J1043" s="31"/>
      <c r="K1043" s="31"/>
    </row>
    <row r="1044" spans="1:11" s="13" customFormat="1" ht="15.75">
      <c r="A1044" s="357"/>
      <c r="B1044" s="361"/>
      <c r="C1044" s="361"/>
      <c r="D1044" s="197"/>
      <c r="E1044" s="31"/>
      <c r="F1044" s="31"/>
      <c r="G1044" s="31"/>
      <c r="H1044" s="197"/>
      <c r="I1044" s="197"/>
      <c r="J1044" s="31"/>
      <c r="K1044" s="31"/>
    </row>
    <row r="1045" spans="1:11" s="13" customFormat="1" ht="15.75">
      <c r="A1045" s="357"/>
      <c r="B1045" s="361"/>
      <c r="C1045" s="361"/>
      <c r="D1045" s="197"/>
      <c r="E1045" s="31"/>
      <c r="F1045" s="31"/>
      <c r="G1045" s="31"/>
      <c r="H1045" s="197"/>
      <c r="I1045" s="197"/>
      <c r="J1045" s="31"/>
      <c r="K1045" s="31"/>
    </row>
    <row r="1046" spans="1:11" s="13" customFormat="1" ht="15.75">
      <c r="A1046" s="357"/>
      <c r="B1046" s="361"/>
      <c r="C1046" s="361"/>
      <c r="D1046" s="197"/>
      <c r="E1046" s="31"/>
      <c r="F1046" s="31"/>
      <c r="G1046" s="31"/>
      <c r="H1046" s="197"/>
      <c r="I1046" s="197"/>
      <c r="J1046" s="31"/>
      <c r="K1046" s="31"/>
    </row>
    <row r="1047" spans="1:11" s="13" customFormat="1" ht="15.75">
      <c r="A1047" s="357"/>
      <c r="B1047" s="361"/>
      <c r="C1047" s="361"/>
      <c r="D1047" s="197"/>
      <c r="E1047" s="31"/>
      <c r="F1047" s="31"/>
      <c r="G1047" s="31"/>
      <c r="H1047" s="197"/>
      <c r="I1047" s="197"/>
      <c r="J1047" s="31"/>
      <c r="K1047" s="31"/>
    </row>
    <row r="1048" spans="1:11" s="13" customFormat="1" ht="15.75">
      <c r="A1048" s="357"/>
      <c r="B1048" s="361"/>
      <c r="C1048" s="361"/>
      <c r="D1048" s="197"/>
      <c r="E1048" s="31"/>
      <c r="F1048" s="31"/>
      <c r="G1048" s="31"/>
      <c r="H1048" s="197"/>
      <c r="I1048" s="197"/>
      <c r="J1048" s="31"/>
      <c r="K1048" s="31"/>
    </row>
    <row r="1049" spans="1:11" s="13" customFormat="1" ht="15.75">
      <c r="A1049" s="357"/>
      <c r="B1049" s="361"/>
      <c r="C1049" s="361"/>
      <c r="D1049" s="197"/>
      <c r="E1049" s="31"/>
      <c r="F1049" s="31"/>
      <c r="G1049" s="31"/>
      <c r="H1049" s="197"/>
      <c r="I1049" s="197"/>
      <c r="J1049" s="31"/>
      <c r="K1049" s="31"/>
    </row>
    <row r="1050" spans="1:11" s="13" customFormat="1" ht="15.75">
      <c r="A1050" s="357"/>
      <c r="B1050" s="361"/>
      <c r="C1050" s="361"/>
      <c r="D1050" s="197"/>
      <c r="E1050" s="31"/>
      <c r="F1050" s="31"/>
      <c r="G1050" s="31"/>
      <c r="H1050" s="197"/>
      <c r="I1050" s="197"/>
      <c r="J1050" s="31"/>
      <c r="K1050" s="31"/>
    </row>
    <row r="1051" spans="1:11" s="13" customFormat="1" ht="15.75">
      <c r="A1051" s="357"/>
      <c r="B1051" s="361"/>
      <c r="C1051" s="361"/>
      <c r="D1051" s="197"/>
      <c r="E1051" s="31"/>
      <c r="F1051" s="31"/>
      <c r="G1051" s="31"/>
      <c r="H1051" s="197"/>
      <c r="I1051" s="197"/>
      <c r="J1051" s="31"/>
      <c r="K1051" s="31"/>
    </row>
    <row r="1052" spans="1:11" s="13" customFormat="1" ht="15.75">
      <c r="A1052" s="357"/>
      <c r="B1052" s="361"/>
      <c r="C1052" s="361"/>
      <c r="D1052" s="197"/>
      <c r="E1052" s="31"/>
      <c r="F1052" s="31"/>
      <c r="G1052" s="31"/>
      <c r="H1052" s="197"/>
      <c r="I1052" s="197"/>
      <c r="J1052" s="31"/>
      <c r="K1052" s="31"/>
    </row>
    <row r="1053" spans="1:11" s="13" customFormat="1" ht="15.75">
      <c r="A1053" s="357"/>
      <c r="B1053" s="361"/>
      <c r="C1053" s="361"/>
      <c r="D1053" s="197"/>
      <c r="E1053" s="31"/>
      <c r="F1053" s="31"/>
      <c r="G1053" s="31"/>
      <c r="H1053" s="197"/>
      <c r="I1053" s="197"/>
      <c r="J1053" s="31"/>
      <c r="K1053" s="31"/>
    </row>
    <row r="1054" spans="1:11" s="13" customFormat="1" ht="15.75">
      <c r="A1054" s="357"/>
      <c r="B1054" s="361"/>
      <c r="C1054" s="361"/>
      <c r="D1054" s="197"/>
      <c r="E1054" s="31"/>
      <c r="F1054" s="31"/>
      <c r="G1054" s="31"/>
      <c r="H1054" s="197"/>
      <c r="I1054" s="197"/>
      <c r="J1054" s="31"/>
      <c r="K1054" s="31"/>
    </row>
    <row r="1055" spans="1:11" s="13" customFormat="1" ht="15.75">
      <c r="A1055" s="357"/>
      <c r="B1055" s="361"/>
      <c r="C1055" s="361"/>
      <c r="D1055" s="197"/>
      <c r="E1055" s="31"/>
      <c r="F1055" s="31"/>
      <c r="G1055" s="31"/>
      <c r="H1055" s="197"/>
      <c r="I1055" s="197"/>
      <c r="J1055" s="31"/>
      <c r="K1055" s="31"/>
    </row>
    <row r="1056" spans="1:11" s="13" customFormat="1" ht="15.75">
      <c r="A1056" s="357"/>
      <c r="B1056" s="361"/>
      <c r="C1056" s="361"/>
      <c r="D1056" s="197"/>
      <c r="E1056" s="31"/>
      <c r="F1056" s="31"/>
      <c r="G1056" s="31"/>
      <c r="H1056" s="197"/>
      <c r="I1056" s="197"/>
      <c r="J1056" s="31"/>
      <c r="K1056" s="31"/>
    </row>
    <row r="1057" spans="1:11" s="13" customFormat="1" ht="15.75">
      <c r="A1057" s="357"/>
      <c r="B1057" s="361"/>
      <c r="C1057" s="361"/>
      <c r="D1057" s="197"/>
      <c r="E1057" s="31"/>
      <c r="F1057" s="31"/>
      <c r="G1057" s="31"/>
      <c r="H1057" s="197"/>
      <c r="I1057" s="197"/>
      <c r="J1057" s="31"/>
      <c r="K1057" s="31"/>
    </row>
    <row r="1058" spans="1:11" s="13" customFormat="1" ht="15.75">
      <c r="A1058" s="357"/>
      <c r="B1058" s="361"/>
      <c r="C1058" s="361"/>
      <c r="D1058" s="197"/>
      <c r="E1058" s="31"/>
      <c r="F1058" s="31"/>
      <c r="G1058" s="31"/>
      <c r="H1058" s="197"/>
      <c r="I1058" s="197"/>
      <c r="J1058" s="31"/>
      <c r="K1058" s="31"/>
    </row>
    <row r="1059" spans="1:11" s="13" customFormat="1" ht="15.75">
      <c r="A1059" s="357"/>
      <c r="B1059" s="361"/>
      <c r="C1059" s="361"/>
      <c r="D1059" s="197"/>
      <c r="E1059" s="31"/>
      <c r="F1059" s="31"/>
      <c r="G1059" s="31"/>
      <c r="H1059" s="197"/>
      <c r="I1059" s="197"/>
      <c r="J1059" s="31"/>
      <c r="K1059" s="31"/>
    </row>
    <row r="1060" spans="1:11" s="13" customFormat="1" ht="15.75">
      <c r="A1060" s="357"/>
      <c r="B1060" s="361"/>
      <c r="C1060" s="361"/>
      <c r="D1060" s="197"/>
      <c r="E1060" s="31"/>
      <c r="F1060" s="31"/>
      <c r="G1060" s="31"/>
      <c r="H1060" s="197"/>
      <c r="I1060" s="197"/>
      <c r="J1060" s="31"/>
      <c r="K1060" s="31"/>
    </row>
    <row r="1061" spans="1:11" s="13" customFormat="1" ht="15.75">
      <c r="A1061" s="357"/>
      <c r="B1061" s="361"/>
      <c r="C1061" s="361"/>
      <c r="D1061" s="197"/>
      <c r="E1061" s="31"/>
      <c r="F1061" s="31"/>
      <c r="G1061" s="31"/>
      <c r="H1061" s="197"/>
      <c r="I1061" s="197"/>
      <c r="J1061" s="31"/>
      <c r="K1061" s="31"/>
    </row>
    <row r="1062" spans="1:11" s="13" customFormat="1" ht="15.75">
      <c r="A1062" s="357"/>
      <c r="B1062" s="361"/>
      <c r="C1062" s="361"/>
      <c r="D1062" s="197"/>
      <c r="E1062" s="31"/>
      <c r="F1062" s="31"/>
      <c r="G1062" s="31"/>
      <c r="H1062" s="197"/>
      <c r="I1062" s="197"/>
      <c r="J1062" s="31"/>
      <c r="K1062" s="31"/>
    </row>
    <row r="1063" spans="1:11" s="13" customFormat="1" ht="15.75">
      <c r="A1063" s="357"/>
      <c r="B1063" s="361"/>
      <c r="C1063" s="361"/>
      <c r="D1063" s="197"/>
      <c r="E1063" s="31"/>
      <c r="F1063" s="31"/>
      <c r="G1063" s="31"/>
      <c r="H1063" s="197"/>
      <c r="I1063" s="197"/>
      <c r="J1063" s="31"/>
      <c r="K1063" s="31"/>
    </row>
    <row r="1064" spans="1:11" s="13" customFormat="1" ht="15.75">
      <c r="A1064" s="357"/>
      <c r="B1064" s="361"/>
      <c r="C1064" s="361"/>
      <c r="D1064" s="197"/>
      <c r="E1064" s="31"/>
      <c r="F1064" s="31"/>
      <c r="G1064" s="31"/>
      <c r="H1064" s="197"/>
      <c r="I1064" s="197"/>
      <c r="J1064" s="31"/>
      <c r="K1064" s="31"/>
    </row>
    <row r="1065" spans="1:11" s="13" customFormat="1" ht="15.75">
      <c r="A1065" s="357"/>
      <c r="B1065" s="361"/>
      <c r="C1065" s="361"/>
      <c r="D1065" s="197"/>
      <c r="E1065" s="31"/>
      <c r="F1065" s="31"/>
      <c r="G1065" s="31"/>
      <c r="H1065" s="197"/>
      <c r="I1065" s="197"/>
      <c r="J1065" s="31"/>
      <c r="K1065" s="31"/>
    </row>
    <row r="1066" spans="1:11" s="13" customFormat="1" ht="15.75">
      <c r="A1066" s="357"/>
      <c r="B1066" s="361"/>
      <c r="C1066" s="361"/>
      <c r="D1066" s="197"/>
      <c r="E1066" s="31"/>
      <c r="F1066" s="31"/>
      <c r="G1066" s="31"/>
      <c r="H1066" s="197"/>
      <c r="I1066" s="197"/>
      <c r="J1066" s="31"/>
      <c r="K1066" s="31"/>
    </row>
    <row r="1067" spans="1:11" s="13" customFormat="1" ht="15.75">
      <c r="A1067" s="357"/>
      <c r="B1067" s="361"/>
      <c r="C1067" s="361"/>
      <c r="D1067" s="197"/>
      <c r="E1067" s="31"/>
      <c r="F1067" s="31"/>
      <c r="G1067" s="31"/>
      <c r="H1067" s="197"/>
      <c r="I1067" s="197"/>
      <c r="J1067" s="31"/>
      <c r="K1067" s="31"/>
    </row>
    <row r="1068" spans="1:11" s="13" customFormat="1" ht="15.75">
      <c r="A1068" s="357"/>
      <c r="B1068" s="361"/>
      <c r="C1068" s="361"/>
      <c r="D1068" s="197"/>
      <c r="E1068" s="31"/>
      <c r="F1068" s="31"/>
      <c r="G1068" s="31"/>
      <c r="H1068" s="197"/>
      <c r="I1068" s="197"/>
      <c r="J1068" s="31"/>
      <c r="K1068" s="31"/>
    </row>
    <row r="1069" spans="1:11" s="13" customFormat="1" ht="15.75">
      <c r="A1069" s="357"/>
      <c r="B1069" s="361"/>
      <c r="C1069" s="361"/>
      <c r="D1069" s="197"/>
      <c r="E1069" s="31"/>
      <c r="F1069" s="31"/>
      <c r="G1069" s="31"/>
      <c r="H1069" s="197"/>
      <c r="I1069" s="197"/>
      <c r="J1069" s="31"/>
      <c r="K1069" s="31"/>
    </row>
    <row r="1070" spans="1:11" s="13" customFormat="1" ht="15.75">
      <c r="A1070" s="357"/>
      <c r="B1070" s="361"/>
      <c r="C1070" s="361"/>
      <c r="D1070" s="197"/>
      <c r="E1070" s="31"/>
      <c r="F1070" s="31"/>
      <c r="G1070" s="31"/>
      <c r="H1070" s="197"/>
      <c r="I1070" s="197"/>
      <c r="J1070" s="31"/>
      <c r="K1070" s="31"/>
    </row>
    <row r="1071" spans="1:9" ht="15.75">
      <c r="A1071" s="357"/>
      <c r="B1071" s="361"/>
      <c r="C1071" s="361"/>
      <c r="D1071" s="197"/>
      <c r="H1071" s="197"/>
      <c r="I1071" s="197"/>
    </row>
    <row r="1072" spans="1:9" ht="15.75">
      <c r="A1072" s="357"/>
      <c r="B1072" s="361"/>
      <c r="C1072" s="361"/>
      <c r="D1072" s="197"/>
      <c r="H1072" s="197"/>
      <c r="I1072" s="197"/>
    </row>
    <row r="1073" spans="1:9" ht="15.75">
      <c r="A1073" s="357"/>
      <c r="B1073" s="361"/>
      <c r="C1073" s="361"/>
      <c r="D1073" s="197"/>
      <c r="H1073" s="197"/>
      <c r="I1073" s="197"/>
    </row>
    <row r="1074" spans="1:9" ht="15.75">
      <c r="A1074" s="357"/>
      <c r="B1074" s="361"/>
      <c r="C1074" s="361"/>
      <c r="D1074" s="197"/>
      <c r="H1074" s="197"/>
      <c r="I1074" s="197"/>
    </row>
    <row r="1075" spans="1:9" ht="15.75">
      <c r="A1075" s="357"/>
      <c r="B1075" s="361"/>
      <c r="C1075" s="361"/>
      <c r="D1075" s="197"/>
      <c r="H1075" s="197"/>
      <c r="I1075" s="197"/>
    </row>
    <row r="1076" spans="1:9" ht="15.75">
      <c r="A1076" s="357"/>
      <c r="B1076" s="361"/>
      <c r="C1076" s="361"/>
      <c r="D1076" s="197"/>
      <c r="H1076" s="197"/>
      <c r="I1076" s="197"/>
    </row>
    <row r="1077" spans="1:9" ht="15.75">
      <c r="A1077" s="357"/>
      <c r="B1077" s="361"/>
      <c r="C1077" s="361"/>
      <c r="D1077" s="197"/>
      <c r="H1077" s="197"/>
      <c r="I1077" s="197"/>
    </row>
    <row r="1078" spans="1:9" ht="15.75">
      <c r="A1078" s="357"/>
      <c r="B1078" s="361"/>
      <c r="C1078" s="361"/>
      <c r="D1078" s="197"/>
      <c r="H1078" s="197"/>
      <c r="I1078" s="197"/>
    </row>
    <row r="1079" spans="1:9" ht="15.75">
      <c r="A1079" s="357"/>
      <c r="B1079" s="361"/>
      <c r="C1079" s="361"/>
      <c r="D1079" s="197"/>
      <c r="H1079" s="197"/>
      <c r="I1079" s="197"/>
    </row>
    <row r="1080" spans="1:9" ht="15.75">
      <c r="A1080" s="357"/>
      <c r="B1080" s="361"/>
      <c r="C1080" s="361"/>
      <c r="D1080" s="197"/>
      <c r="H1080" s="197"/>
      <c r="I1080" s="197"/>
    </row>
    <row r="1081" spans="1:9" ht="15.75">
      <c r="A1081" s="357"/>
      <c r="B1081" s="361"/>
      <c r="C1081" s="361"/>
      <c r="D1081" s="197"/>
      <c r="H1081" s="197"/>
      <c r="I1081" s="197"/>
    </row>
    <row r="1082" spans="1:9" ht="15.75">
      <c r="A1082" s="357"/>
      <c r="B1082" s="361"/>
      <c r="C1082" s="361"/>
      <c r="D1082" s="197"/>
      <c r="H1082" s="197"/>
      <c r="I1082" s="197"/>
    </row>
    <row r="1083" spans="1:9" ht="15.75">
      <c r="A1083" s="357"/>
      <c r="B1083" s="361"/>
      <c r="C1083" s="361"/>
      <c r="D1083" s="197"/>
      <c r="H1083" s="197"/>
      <c r="I1083" s="197"/>
    </row>
    <row r="1084" spans="1:9" ht="15.75">
      <c r="A1084" s="357"/>
      <c r="B1084" s="361"/>
      <c r="C1084" s="361"/>
      <c r="D1084" s="197"/>
      <c r="H1084" s="197"/>
      <c r="I1084" s="197"/>
    </row>
    <row r="1085" spans="1:9" ht="15.75">
      <c r="A1085" s="357"/>
      <c r="B1085" s="361"/>
      <c r="C1085" s="361"/>
      <c r="D1085" s="197"/>
      <c r="H1085" s="197"/>
      <c r="I1085" s="197"/>
    </row>
    <row r="1086" spans="1:9" ht="15.75">
      <c r="A1086" s="357"/>
      <c r="B1086" s="361"/>
      <c r="C1086" s="361"/>
      <c r="D1086" s="197"/>
      <c r="H1086" s="197"/>
      <c r="I1086" s="197"/>
    </row>
    <row r="1087" spans="1:9" ht="15.75">
      <c r="A1087" s="357"/>
      <c r="B1087" s="361"/>
      <c r="C1087" s="361"/>
      <c r="D1087" s="197"/>
      <c r="H1087" s="197"/>
      <c r="I1087" s="197"/>
    </row>
    <row r="1088" spans="1:9" ht="15.75">
      <c r="A1088" s="357"/>
      <c r="B1088" s="361"/>
      <c r="C1088" s="361"/>
      <c r="D1088" s="197"/>
      <c r="H1088" s="197"/>
      <c r="I1088" s="197"/>
    </row>
    <row r="1089" spans="1:9" ht="15.75">
      <c r="A1089" s="357"/>
      <c r="B1089" s="361"/>
      <c r="C1089" s="361"/>
      <c r="D1089" s="197"/>
      <c r="H1089" s="197"/>
      <c r="I1089" s="197"/>
    </row>
    <row r="1090" spans="1:9" ht="15.75">
      <c r="A1090" s="357"/>
      <c r="B1090" s="361"/>
      <c r="C1090" s="361"/>
      <c r="D1090" s="197"/>
      <c r="H1090" s="197"/>
      <c r="I1090" s="197"/>
    </row>
    <row r="1091" spans="1:9" ht="15.75">
      <c r="A1091" s="357"/>
      <c r="B1091" s="361"/>
      <c r="C1091" s="361"/>
      <c r="D1091" s="197"/>
      <c r="H1091" s="197"/>
      <c r="I1091" s="197"/>
    </row>
    <row r="1092" spans="1:9" ht="15.75">
      <c r="A1092" s="357"/>
      <c r="B1092" s="361"/>
      <c r="C1092" s="361"/>
      <c r="D1092" s="197"/>
      <c r="H1092" s="197"/>
      <c r="I1092" s="197"/>
    </row>
    <row r="1093" spans="1:9" ht="15.75">
      <c r="A1093" s="357"/>
      <c r="B1093" s="361"/>
      <c r="C1093" s="361"/>
      <c r="D1093" s="197"/>
      <c r="H1093" s="197"/>
      <c r="I1093" s="197"/>
    </row>
    <row r="1094" spans="1:9" ht="15.75">
      <c r="A1094" s="357"/>
      <c r="B1094" s="361"/>
      <c r="C1094" s="361"/>
      <c r="D1094" s="197"/>
      <c r="H1094" s="197"/>
      <c r="I1094" s="197"/>
    </row>
    <row r="1095" spans="1:9" ht="15.75">
      <c r="A1095" s="357"/>
      <c r="B1095" s="361"/>
      <c r="C1095" s="361"/>
      <c r="D1095" s="197"/>
      <c r="H1095" s="197"/>
      <c r="I1095" s="197"/>
    </row>
    <row r="1096" spans="1:9" ht="15.75">
      <c r="A1096" s="357"/>
      <c r="B1096" s="361"/>
      <c r="C1096" s="361"/>
      <c r="D1096" s="197"/>
      <c r="H1096" s="197"/>
      <c r="I1096" s="197"/>
    </row>
    <row r="1097" spans="1:9" ht="15.75">
      <c r="A1097" s="357"/>
      <c r="B1097" s="361"/>
      <c r="C1097" s="361"/>
      <c r="D1097" s="197"/>
      <c r="H1097" s="197"/>
      <c r="I1097" s="197"/>
    </row>
    <row r="1098" spans="1:9" ht="15.75">
      <c r="A1098" s="357"/>
      <c r="B1098" s="361"/>
      <c r="C1098" s="361"/>
      <c r="D1098" s="197"/>
      <c r="H1098" s="197"/>
      <c r="I1098" s="197"/>
    </row>
    <row r="1099" spans="1:9" ht="15.75">
      <c r="A1099" s="357"/>
      <c r="B1099" s="361"/>
      <c r="C1099" s="361"/>
      <c r="D1099" s="197"/>
      <c r="H1099" s="197"/>
      <c r="I1099" s="197"/>
    </row>
    <row r="1100" spans="1:9" ht="15.75">
      <c r="A1100" s="357"/>
      <c r="B1100" s="361"/>
      <c r="C1100" s="361"/>
      <c r="D1100" s="197"/>
      <c r="H1100" s="197"/>
      <c r="I1100" s="197"/>
    </row>
    <row r="1101" spans="1:9" ht="15.75">
      <c r="A1101" s="357"/>
      <c r="B1101" s="361"/>
      <c r="C1101" s="361"/>
      <c r="D1101" s="197"/>
      <c r="H1101" s="197"/>
      <c r="I1101" s="197"/>
    </row>
    <row r="1102" spans="1:9" ht="15.75">
      <c r="A1102" s="357"/>
      <c r="B1102" s="361"/>
      <c r="C1102" s="361"/>
      <c r="D1102" s="197"/>
      <c r="H1102" s="197"/>
      <c r="I1102" s="197"/>
    </row>
    <row r="1103" spans="1:9" ht="15.75">
      <c r="A1103" s="357"/>
      <c r="B1103" s="361"/>
      <c r="C1103" s="361"/>
      <c r="D1103" s="197"/>
      <c r="H1103" s="197"/>
      <c r="I1103" s="197"/>
    </row>
    <row r="1104" spans="1:9" ht="15.75">
      <c r="A1104" s="357"/>
      <c r="B1104" s="361"/>
      <c r="C1104" s="361"/>
      <c r="D1104" s="197"/>
      <c r="H1104" s="197"/>
      <c r="I1104" s="197"/>
    </row>
    <row r="1105" spans="1:9" ht="15.75">
      <c r="A1105" s="357"/>
      <c r="B1105" s="361"/>
      <c r="C1105" s="361"/>
      <c r="D1105" s="197"/>
      <c r="H1105" s="197"/>
      <c r="I1105" s="197"/>
    </row>
    <row r="1106" spans="1:9" ht="15.75">
      <c r="A1106" s="357"/>
      <c r="B1106" s="361"/>
      <c r="C1106" s="361"/>
      <c r="D1106" s="197"/>
      <c r="H1106" s="197"/>
      <c r="I1106" s="197"/>
    </row>
    <row r="1107" spans="1:9" ht="15.75">
      <c r="A1107" s="357"/>
      <c r="B1107" s="361"/>
      <c r="C1107" s="361"/>
      <c r="D1107" s="197"/>
      <c r="H1107" s="197"/>
      <c r="I1107" s="197"/>
    </row>
    <row r="1108" spans="1:9" ht="15.75">
      <c r="A1108" s="357"/>
      <c r="B1108" s="361"/>
      <c r="C1108" s="361"/>
      <c r="D1108" s="197"/>
      <c r="H1108" s="197"/>
      <c r="I1108" s="197"/>
    </row>
    <row r="1109" spans="1:9" ht="15.75">
      <c r="A1109" s="357"/>
      <c r="B1109" s="361"/>
      <c r="C1109" s="361"/>
      <c r="D1109" s="197"/>
      <c r="H1109" s="197"/>
      <c r="I1109" s="197"/>
    </row>
    <row r="1110" spans="1:9" ht="15.75">
      <c r="A1110" s="357"/>
      <c r="B1110" s="361"/>
      <c r="C1110" s="361"/>
      <c r="D1110" s="197"/>
      <c r="H1110" s="197"/>
      <c r="I1110" s="197"/>
    </row>
    <row r="1111" spans="1:9" ht="15.75">
      <c r="A1111" s="357"/>
      <c r="B1111" s="361"/>
      <c r="C1111" s="361"/>
      <c r="D1111" s="197"/>
      <c r="H1111" s="197"/>
      <c r="I1111" s="197"/>
    </row>
    <row r="1112" spans="1:9" ht="15.75">
      <c r="A1112" s="357"/>
      <c r="B1112" s="361"/>
      <c r="C1112" s="361"/>
      <c r="D1112" s="197"/>
      <c r="H1112" s="197"/>
      <c r="I1112" s="197"/>
    </row>
    <row r="1113" spans="1:9" ht="15.75">
      <c r="A1113" s="357"/>
      <c r="B1113" s="361"/>
      <c r="C1113" s="361"/>
      <c r="D1113" s="197"/>
      <c r="H1113" s="197"/>
      <c r="I1113" s="197"/>
    </row>
  </sheetData>
  <sheetProtection/>
  <autoFilter ref="A4:I772"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KazakovaEV</cp:lastModifiedBy>
  <cp:lastPrinted>2023-02-20T07:58:05Z</cp:lastPrinted>
  <dcterms:created xsi:type="dcterms:W3CDTF">2007-08-13T07:10:11Z</dcterms:created>
  <dcterms:modified xsi:type="dcterms:W3CDTF">2023-02-20T07:58:15Z</dcterms:modified>
  <cp:category/>
  <cp:version/>
  <cp:contentType/>
  <cp:contentStatus/>
</cp:coreProperties>
</file>